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Responses to Information Requests\"/>
    </mc:Choice>
  </mc:AlternateContent>
  <bookViews>
    <workbookView xWindow="0" yWindow="0" windowWidth="21570" windowHeight="7560" tabRatio="707" activeTab="2"/>
  </bookViews>
  <sheets>
    <sheet name="Introduction" sheetId="26" r:id="rId1"/>
    <sheet name="Summary" sheetId="13" r:id="rId2"/>
    <sheet name="Summary - Base Year Escaladed" sheetId="28" r:id="rId3"/>
    <sheet name="Muskrat Falls" sheetId="21" r:id="rId4"/>
    <sheet name="LTA" sheetId="22" r:id="rId5"/>
    <sheet name="LITL" sheetId="12" r:id="rId6"/>
    <sheet name="Corporate Support" sheetId="23" r:id="rId7"/>
    <sheet name="ECC" sheetId="27" r:id="rId8"/>
    <sheet name="SOBI" sheetId="24" r:id="rId9"/>
    <sheet name="Cost Curve" sheetId="25" r:id="rId10"/>
  </sheets>
  <definedNames>
    <definedName name="_xlnm.Print_Area" localSheetId="6">'Corporate Support'!$A$1:$N$28</definedName>
    <definedName name="_xlnm.Print_Area" localSheetId="7">ECC!$A$1:$N$31</definedName>
    <definedName name="_xlnm.Print_Area" localSheetId="0">Introduction!$A$1:$O$53</definedName>
    <definedName name="_xlnm.Print_Area" localSheetId="5">LITL!$B$1:$I$88</definedName>
    <definedName name="_xlnm.Print_Area" localSheetId="4">LTA!$B$1:$J$63</definedName>
    <definedName name="_xlnm.Print_Area" localSheetId="3">'Muskrat Falls'!$2:$94</definedName>
    <definedName name="_xlnm.Print_Area" localSheetId="1">Summary!$A$1:$L$25</definedName>
    <definedName name="_xlnm.Print_Area" localSheetId="2">'Summary - Base Year Escaladed'!$A$1:$L$25</definedName>
    <definedName name="_xlnm.Print_Titles" localSheetId="5">LITL!$1:$3</definedName>
  </definedNames>
  <calcPr calcId="152511" iterateCount="1000" iterateDelta="9.9999999999999995E-7" calcOnSave="0"/>
</workbook>
</file>

<file path=xl/calcChain.xml><?xml version="1.0" encoding="utf-8"?>
<calcChain xmlns="http://schemas.openxmlformats.org/spreadsheetml/2006/main">
  <c r="C29" i="25" l="1"/>
  <c r="D27" i="25" l="1"/>
  <c r="E27" i="25" s="1"/>
  <c r="F27" i="25" s="1"/>
  <c r="G27" i="25" s="1"/>
  <c r="H27" i="25" s="1"/>
  <c r="I27" i="25" s="1"/>
  <c r="J27" i="25" s="1"/>
  <c r="K27" i="25" s="1"/>
  <c r="L27" i="25" s="1"/>
  <c r="M27" i="25" s="1"/>
  <c r="N27" i="25" s="1"/>
  <c r="O27" i="25" s="1"/>
  <c r="P27" i="25" s="1"/>
  <c r="Q27" i="25" s="1"/>
  <c r="R27" i="25" s="1"/>
  <c r="S27" i="25" s="1"/>
  <c r="T27" i="25" s="1"/>
  <c r="U27" i="25" s="1"/>
  <c r="V27" i="25" s="1"/>
  <c r="W27" i="25" s="1"/>
  <c r="X27" i="25" s="1"/>
  <c r="Y27" i="25" s="1"/>
  <c r="Z27" i="25" s="1"/>
  <c r="AA27" i="25" s="1"/>
  <c r="AB27" i="25" s="1"/>
  <c r="AC27" i="25" s="1"/>
  <c r="AD27" i="25" s="1"/>
  <c r="AE27" i="25" s="1"/>
  <c r="AF27" i="25" s="1"/>
  <c r="AG27" i="25" s="1"/>
  <c r="AH27" i="25" s="1"/>
  <c r="AI27" i="25" s="1"/>
  <c r="AJ27" i="25" s="1"/>
  <c r="AK27" i="25" s="1"/>
  <c r="AL27" i="25" s="1"/>
  <c r="AM27" i="25" s="1"/>
  <c r="AN27" i="25" s="1"/>
  <c r="AO27" i="25" s="1"/>
  <c r="AP27" i="25" s="1"/>
  <c r="AQ27" i="25" s="1"/>
  <c r="AR27" i="25" s="1"/>
  <c r="AS27" i="25" s="1"/>
  <c r="AT27" i="25" s="1"/>
  <c r="AU27" i="25" s="1"/>
  <c r="AV27" i="25" s="1"/>
  <c r="AW27" i="25" s="1"/>
  <c r="AX27" i="25" s="1"/>
  <c r="AY27" i="25" s="1"/>
  <c r="AZ27" i="25" s="1"/>
  <c r="D29" i="25"/>
  <c r="E29" i="25" s="1"/>
  <c r="F29" i="25" s="1"/>
  <c r="G29" i="25" s="1"/>
  <c r="H29" i="25" s="1"/>
  <c r="I29" i="25" l="1"/>
  <c r="D4" i="24"/>
  <c r="D12" i="24"/>
  <c r="J29" i="25" l="1"/>
  <c r="D35" i="12"/>
  <c r="D24" i="12"/>
  <c r="G43" i="21"/>
  <c r="F10" i="27"/>
  <c r="C31" i="27"/>
  <c r="C30" i="27"/>
  <c r="C27" i="27"/>
  <c r="G7" i="27"/>
  <c r="G6" i="27"/>
  <c r="G5" i="27"/>
  <c r="G4" i="27"/>
  <c r="C29" i="27" s="1"/>
  <c r="C26" i="27"/>
  <c r="C28" i="27"/>
  <c r="C29" i="23"/>
  <c r="I43" i="22"/>
  <c r="F57" i="12"/>
  <c r="F58" i="12"/>
  <c r="H58" i="12" s="1"/>
  <c r="I60" i="21"/>
  <c r="AN9" i="24"/>
  <c r="T9" i="24"/>
  <c r="L9" i="24"/>
  <c r="BC9" i="24"/>
  <c r="K29" i="25" l="1"/>
  <c r="G8" i="27"/>
  <c r="G9" i="27" s="1"/>
  <c r="N9" i="24"/>
  <c r="Y9" i="24"/>
  <c r="Y10" i="24" s="1"/>
  <c r="S43" i="25" s="1"/>
  <c r="AS9" i="24"/>
  <c r="AS10" i="24" s="1"/>
  <c r="AM43" i="25" s="1"/>
  <c r="I9" i="24"/>
  <c r="J9" i="24" s="1"/>
  <c r="P9" i="24"/>
  <c r="P10" i="24" s="1"/>
  <c r="J43" i="25" s="1"/>
  <c r="AD9" i="24"/>
  <c r="AX9" i="24"/>
  <c r="AX10" i="24" s="1"/>
  <c r="AR43" i="25" s="1"/>
  <c r="R9" i="24"/>
  <c r="AI9" i="24"/>
  <c r="BF10" i="24"/>
  <c r="AZ43" i="25" s="1"/>
  <c r="BE10" i="24"/>
  <c r="AY43" i="25" s="1"/>
  <c r="BD10" i="24"/>
  <c r="AX43" i="25" s="1"/>
  <c r="BC10" i="24"/>
  <c r="AW43" i="25" s="1"/>
  <c r="BB10" i="24"/>
  <c r="AV43" i="25" s="1"/>
  <c r="BA10" i="24"/>
  <c r="AU43" i="25" s="1"/>
  <c r="AZ10" i="24"/>
  <c r="AT43" i="25" s="1"/>
  <c r="AY10" i="24"/>
  <c r="AS43" i="25" s="1"/>
  <c r="AW10" i="24"/>
  <c r="AQ43" i="25" s="1"/>
  <c r="AV10" i="24"/>
  <c r="AP43" i="25" s="1"/>
  <c r="AU10" i="24"/>
  <c r="AO43" i="25" s="1"/>
  <c r="AT10" i="24"/>
  <c r="AN43" i="25" s="1"/>
  <c r="AR10" i="24"/>
  <c r="AL43" i="25" s="1"/>
  <c r="AQ10" i="24"/>
  <c r="AK43" i="25" s="1"/>
  <c r="AP10" i="24"/>
  <c r="AJ43" i="25" s="1"/>
  <c r="AO10" i="24"/>
  <c r="AI43" i="25" s="1"/>
  <c r="AN10" i="24"/>
  <c r="AH43" i="25" s="1"/>
  <c r="AM10" i="24"/>
  <c r="AG43" i="25" s="1"/>
  <c r="AL10" i="24"/>
  <c r="AF43" i="25" s="1"/>
  <c r="AK10" i="24"/>
  <c r="AE43" i="25" s="1"/>
  <c r="AJ10" i="24"/>
  <c r="AD43" i="25" s="1"/>
  <c r="AI10" i="24"/>
  <c r="AC43" i="25" s="1"/>
  <c r="AH10" i="24"/>
  <c r="AB43" i="25" s="1"/>
  <c r="AG10" i="24"/>
  <c r="AA43" i="25" s="1"/>
  <c r="AF10" i="24"/>
  <c r="Z43" i="25" s="1"/>
  <c r="AE10" i="24"/>
  <c r="Y43" i="25" s="1"/>
  <c r="AD10" i="24"/>
  <c r="X43" i="25" s="1"/>
  <c r="AC10" i="24"/>
  <c r="W43" i="25" s="1"/>
  <c r="AB10" i="24"/>
  <c r="V43" i="25" s="1"/>
  <c r="AA10" i="24"/>
  <c r="U43" i="25" s="1"/>
  <c r="Z10" i="24"/>
  <c r="T43" i="25" s="1"/>
  <c r="X10" i="24"/>
  <c r="R43" i="25" s="1"/>
  <c r="W10" i="24"/>
  <c r="Q43" i="25" s="1"/>
  <c r="V10" i="24"/>
  <c r="P43" i="25" s="1"/>
  <c r="U10" i="24"/>
  <c r="O43" i="25" s="1"/>
  <c r="T10" i="24"/>
  <c r="N43" i="25" s="1"/>
  <c r="S10" i="24"/>
  <c r="M43" i="25" s="1"/>
  <c r="R10" i="24"/>
  <c r="L43" i="25" s="1"/>
  <c r="Q10" i="24"/>
  <c r="K43" i="25" s="1"/>
  <c r="O10" i="24"/>
  <c r="I43" i="25" s="1"/>
  <c r="N10" i="24"/>
  <c r="H43" i="25" s="1"/>
  <c r="M10" i="24"/>
  <c r="G43" i="25" s="1"/>
  <c r="L10" i="24"/>
  <c r="F43" i="25" s="1"/>
  <c r="K10" i="24"/>
  <c r="E43" i="25" s="1"/>
  <c r="J10" i="24"/>
  <c r="D43" i="25" s="1"/>
  <c r="K5" i="24"/>
  <c r="L5" i="24" s="1"/>
  <c r="M5" i="24" s="1"/>
  <c r="N5" i="24" s="1"/>
  <c r="O5" i="24" s="1"/>
  <c r="P5" i="24" s="1"/>
  <c r="Q5" i="24" s="1"/>
  <c r="R5" i="24" s="1"/>
  <c r="S5" i="24" s="1"/>
  <c r="T5" i="24" s="1"/>
  <c r="U5" i="24" s="1"/>
  <c r="V5" i="24" s="1"/>
  <c r="W5" i="24" s="1"/>
  <c r="X5" i="24" s="1"/>
  <c r="Y5" i="24" s="1"/>
  <c r="Z5" i="24" s="1"/>
  <c r="AA5" i="24" s="1"/>
  <c r="AB5" i="24" s="1"/>
  <c r="AC5" i="24" s="1"/>
  <c r="AD5" i="24" s="1"/>
  <c r="AE5" i="24" s="1"/>
  <c r="AF5" i="24" s="1"/>
  <c r="AG5" i="24" s="1"/>
  <c r="AH5" i="24" s="1"/>
  <c r="AI5" i="24" s="1"/>
  <c r="AJ5" i="24" s="1"/>
  <c r="AK5" i="24" s="1"/>
  <c r="AL5" i="24" s="1"/>
  <c r="AM5" i="24" s="1"/>
  <c r="AN5" i="24" s="1"/>
  <c r="AO5" i="24" s="1"/>
  <c r="AP5" i="24" s="1"/>
  <c r="AQ5" i="24" s="1"/>
  <c r="AR5" i="24" s="1"/>
  <c r="AS5" i="24" s="1"/>
  <c r="AT5" i="24" s="1"/>
  <c r="AU5" i="24" s="1"/>
  <c r="AV5" i="24" s="1"/>
  <c r="AW5" i="24" s="1"/>
  <c r="AX5" i="24" s="1"/>
  <c r="AY5" i="24" s="1"/>
  <c r="AZ5" i="24" s="1"/>
  <c r="BA5" i="24" s="1"/>
  <c r="BB5" i="24" s="1"/>
  <c r="BC5" i="24" s="1"/>
  <c r="BD5" i="24" s="1"/>
  <c r="BE5" i="24" s="1"/>
  <c r="BF5" i="24" s="1"/>
  <c r="D20" i="25"/>
  <c r="E20" i="25" s="1"/>
  <c r="F20" i="25" s="1"/>
  <c r="G20" i="25" s="1"/>
  <c r="H20" i="25" s="1"/>
  <c r="I20" i="25" s="1"/>
  <c r="J20" i="25" s="1"/>
  <c r="K20" i="25" s="1"/>
  <c r="L20" i="25" s="1"/>
  <c r="M20" i="25" s="1"/>
  <c r="N20" i="25" s="1"/>
  <c r="O20" i="25" s="1"/>
  <c r="P20" i="25" s="1"/>
  <c r="Q20" i="25" s="1"/>
  <c r="R20" i="25" s="1"/>
  <c r="S20" i="25" s="1"/>
  <c r="T20" i="25" s="1"/>
  <c r="U20" i="25" s="1"/>
  <c r="V20" i="25" s="1"/>
  <c r="W20" i="25" s="1"/>
  <c r="X20" i="25" s="1"/>
  <c r="Y20" i="25" s="1"/>
  <c r="Z20" i="25" s="1"/>
  <c r="AA20" i="25" s="1"/>
  <c r="AB20" i="25" s="1"/>
  <c r="AC20" i="25" s="1"/>
  <c r="AD20" i="25" s="1"/>
  <c r="AE20" i="25" s="1"/>
  <c r="AF20" i="25" s="1"/>
  <c r="AG20" i="25" s="1"/>
  <c r="AH20" i="25" s="1"/>
  <c r="AI20" i="25" s="1"/>
  <c r="AJ20" i="25" s="1"/>
  <c r="AK20" i="25" s="1"/>
  <c r="AL20" i="25" s="1"/>
  <c r="AM20" i="25" s="1"/>
  <c r="AN20" i="25" s="1"/>
  <c r="AO20" i="25" s="1"/>
  <c r="AP20" i="25" s="1"/>
  <c r="AQ20" i="25" s="1"/>
  <c r="AR20" i="25" s="1"/>
  <c r="AS20" i="25" s="1"/>
  <c r="AT20" i="25" s="1"/>
  <c r="AU20" i="25" s="1"/>
  <c r="AV20" i="25" s="1"/>
  <c r="AW20" i="25" s="1"/>
  <c r="AX20" i="25" s="1"/>
  <c r="AY20" i="25" s="1"/>
  <c r="AZ20" i="25" s="1"/>
  <c r="L29" i="25" l="1"/>
  <c r="G10" i="27"/>
  <c r="I10" i="24"/>
  <c r="C43" i="25" s="1"/>
  <c r="G8" i="23"/>
  <c r="C33" i="23"/>
  <c r="G4" i="23"/>
  <c r="M29" i="25" l="1"/>
  <c r="G7" i="23"/>
  <c r="I35" i="22"/>
  <c r="H57" i="12"/>
  <c r="N29" i="25" l="1"/>
  <c r="H4" i="12"/>
  <c r="H42" i="12"/>
  <c r="H53" i="12"/>
  <c r="L31" i="12" s="1"/>
  <c r="H45" i="12"/>
  <c r="H44" i="12"/>
  <c r="H43" i="12"/>
  <c r="H41" i="12"/>
  <c r="I31" i="22"/>
  <c r="I30" i="22"/>
  <c r="I29" i="22"/>
  <c r="I28" i="22"/>
  <c r="I27" i="22"/>
  <c r="I26" i="22"/>
  <c r="I25" i="22"/>
  <c r="H33" i="12"/>
  <c r="H32" i="12"/>
  <c r="H31" i="12"/>
  <c r="H30" i="12"/>
  <c r="H29" i="12"/>
  <c r="H28" i="12"/>
  <c r="H27" i="12"/>
  <c r="H26" i="12"/>
  <c r="O29" i="25" l="1"/>
  <c r="E36" i="22"/>
  <c r="I61" i="21"/>
  <c r="P29" i="25" l="1"/>
  <c r="D101" i="21"/>
  <c r="I32" i="21"/>
  <c r="I31" i="21"/>
  <c r="I30" i="21"/>
  <c r="I29" i="21"/>
  <c r="I28" i="21"/>
  <c r="I27" i="21"/>
  <c r="I26" i="21"/>
  <c r="I25" i="21"/>
  <c r="I24" i="21"/>
  <c r="I23" i="21"/>
  <c r="Q29" i="25" l="1"/>
  <c r="F17" i="23"/>
  <c r="R29" i="25" l="1"/>
  <c r="F59" i="12"/>
  <c r="G42" i="22"/>
  <c r="S29" i="25" l="1"/>
  <c r="E42" i="22"/>
  <c r="I42" i="22" s="1"/>
  <c r="I44" i="22" s="1"/>
  <c r="M33" i="22" s="1"/>
  <c r="D37" i="12"/>
  <c r="H59" i="12"/>
  <c r="T29" i="25" l="1"/>
  <c r="H37" i="12"/>
  <c r="D40" i="12"/>
  <c r="H40" i="12" s="1"/>
  <c r="H21" i="12"/>
  <c r="H20" i="12"/>
  <c r="H19" i="12"/>
  <c r="H18" i="12"/>
  <c r="H16" i="12"/>
  <c r="H15" i="12"/>
  <c r="H14" i="12"/>
  <c r="H13" i="12"/>
  <c r="H12" i="12"/>
  <c r="H11" i="12"/>
  <c r="H10" i="12"/>
  <c r="H9" i="12"/>
  <c r="H8" i="12"/>
  <c r="H7" i="12"/>
  <c r="H6" i="12"/>
  <c r="D39" i="12"/>
  <c r="H39" i="12" s="1"/>
  <c r="D38" i="12"/>
  <c r="H38" i="12" s="1"/>
  <c r="U29" i="25" l="1"/>
  <c r="H47" i="12"/>
  <c r="L30" i="12" s="1"/>
  <c r="H35" i="12"/>
  <c r="L29" i="12" s="1"/>
  <c r="H24" i="12"/>
  <c r="L28" i="12" s="1"/>
  <c r="V29" i="25" l="1"/>
  <c r="I38" i="22"/>
  <c r="E33" i="22"/>
  <c r="I21" i="22"/>
  <c r="I20" i="22"/>
  <c r="I19" i="22"/>
  <c r="I18" i="22"/>
  <c r="I17" i="22"/>
  <c r="I16" i="22"/>
  <c r="I15" i="22"/>
  <c r="I14" i="22"/>
  <c r="I13" i="22"/>
  <c r="I10" i="22"/>
  <c r="I9" i="22"/>
  <c r="I8" i="22"/>
  <c r="I7" i="22"/>
  <c r="I6" i="22"/>
  <c r="I5" i="22"/>
  <c r="W29" i="25" l="1"/>
  <c r="I33" i="22"/>
  <c r="M31" i="22" s="1"/>
  <c r="I23" i="22"/>
  <c r="M30" i="22" s="1"/>
  <c r="X29" i="25" l="1"/>
  <c r="I43" i="21"/>
  <c r="I54" i="21" s="1"/>
  <c r="I13" i="21"/>
  <c r="E21" i="21"/>
  <c r="I12" i="21"/>
  <c r="I11" i="21"/>
  <c r="I10" i="21"/>
  <c r="I17" i="21"/>
  <c r="I16" i="21"/>
  <c r="I15" i="21"/>
  <c r="I14" i="21"/>
  <c r="I9" i="21"/>
  <c r="I8" i="21"/>
  <c r="I7" i="21"/>
  <c r="I6" i="21"/>
  <c r="Y29" i="25" l="1"/>
  <c r="D100" i="21"/>
  <c r="I18" i="21"/>
  <c r="I21" i="21" s="1"/>
  <c r="D98" i="21" s="1"/>
  <c r="I34" i="21"/>
  <c r="D99" i="21" s="1"/>
  <c r="G12" i="23"/>
  <c r="C32" i="23" s="1"/>
  <c r="G11" i="23"/>
  <c r="G10" i="23"/>
  <c r="G9" i="23"/>
  <c r="G6" i="23"/>
  <c r="G5" i="23"/>
  <c r="I36" i="22"/>
  <c r="H62" i="12"/>
  <c r="L32" i="12" s="1"/>
  <c r="Z29" i="25" l="1"/>
  <c r="C35" i="23"/>
  <c r="C34" i="23"/>
  <c r="I39" i="22"/>
  <c r="M32" i="22" s="1"/>
  <c r="G15" i="23"/>
  <c r="G16" i="23" s="1"/>
  <c r="AA29" i="25" l="1"/>
  <c r="G17" i="23"/>
  <c r="AB29" i="25" l="1"/>
  <c r="I45" i="22"/>
  <c r="H63" i="12"/>
  <c r="I62" i="21"/>
  <c r="H68" i="12" l="1"/>
  <c r="D102" i="21"/>
  <c r="AC29" i="25"/>
  <c r="I63" i="21"/>
  <c r="I64" i="21" s="1"/>
  <c r="I46" i="22"/>
  <c r="I47" i="22" s="1"/>
  <c r="M34" i="22"/>
  <c r="H64" i="12"/>
  <c r="H65" i="12" s="1"/>
  <c r="L33" i="12"/>
  <c r="C50" i="25" l="1"/>
  <c r="I69" i="21"/>
  <c r="I52" i="22"/>
  <c r="AD29" i="25"/>
  <c r="D103" i="21"/>
  <c r="M35" i="22"/>
  <c r="AE29" i="25" l="1"/>
  <c r="I48" i="22"/>
  <c r="L34" i="12"/>
  <c r="H66" i="12"/>
  <c r="I65" i="21"/>
  <c r="C4" i="13" l="1"/>
  <c r="E21" i="25"/>
  <c r="I21" i="25"/>
  <c r="I32" i="25" s="1"/>
  <c r="I35" i="25" s="1"/>
  <c r="I40" i="25" s="1"/>
  <c r="M21" i="25"/>
  <c r="M32" i="25" s="1"/>
  <c r="Q21" i="25"/>
  <c r="Q32" i="25" s="1"/>
  <c r="U21" i="25"/>
  <c r="U32" i="25" s="1"/>
  <c r="Y21" i="25"/>
  <c r="Y32" i="25" s="1"/>
  <c r="Y35" i="25" s="1"/>
  <c r="Y40" i="25" s="1"/>
  <c r="AC21" i="25"/>
  <c r="AC32" i="25" s="1"/>
  <c r="AG21" i="25"/>
  <c r="AK21" i="25"/>
  <c r="AO21" i="25"/>
  <c r="AW21" i="25"/>
  <c r="G21" i="25"/>
  <c r="G32" i="25" s="1"/>
  <c r="W21" i="25"/>
  <c r="W32" i="25" s="1"/>
  <c r="AI21" i="25"/>
  <c r="AY21" i="25"/>
  <c r="F21" i="25"/>
  <c r="F32" i="25" s="1"/>
  <c r="J21" i="25"/>
  <c r="J32" i="25" s="1"/>
  <c r="N21" i="25"/>
  <c r="N32" i="25" s="1"/>
  <c r="R21" i="25"/>
  <c r="R32" i="25" s="1"/>
  <c r="V21" i="25"/>
  <c r="V32" i="25" s="1"/>
  <c r="Z21" i="25"/>
  <c r="Z32" i="25" s="1"/>
  <c r="AD21" i="25"/>
  <c r="AD32" i="25" s="1"/>
  <c r="AH21" i="25"/>
  <c r="AL21" i="25"/>
  <c r="AP21" i="25"/>
  <c r="AT21" i="25"/>
  <c r="AX21" i="25"/>
  <c r="O21" i="25"/>
  <c r="O32" i="25" s="1"/>
  <c r="AA21" i="25"/>
  <c r="AA32" i="25" s="1"/>
  <c r="AQ21" i="25"/>
  <c r="D21" i="25"/>
  <c r="H21" i="25"/>
  <c r="H32" i="25" s="1"/>
  <c r="L21" i="25"/>
  <c r="L32" i="25" s="1"/>
  <c r="P21" i="25"/>
  <c r="P32" i="25" s="1"/>
  <c r="T21" i="25"/>
  <c r="T32" i="25" s="1"/>
  <c r="X21" i="25"/>
  <c r="X32" i="25" s="1"/>
  <c r="AB21" i="25"/>
  <c r="AB32" i="25" s="1"/>
  <c r="AF21" i="25"/>
  <c r="AF32" i="25" s="1"/>
  <c r="AJ21" i="25"/>
  <c r="AN21" i="25"/>
  <c r="AR21" i="25"/>
  <c r="AV21" i="25"/>
  <c r="AZ21" i="25"/>
  <c r="AS21" i="25"/>
  <c r="C21" i="25"/>
  <c r="K21" i="25"/>
  <c r="K32" i="25" s="1"/>
  <c r="S21" i="25"/>
  <c r="S32" i="25" s="1"/>
  <c r="AE21" i="25"/>
  <c r="AE32" i="25" s="1"/>
  <c r="AM21" i="25"/>
  <c r="AU21" i="25"/>
  <c r="C5" i="13"/>
  <c r="G22" i="25"/>
  <c r="G33" i="25" s="1"/>
  <c r="K22" i="25"/>
  <c r="K33" i="25" s="1"/>
  <c r="O22" i="25"/>
  <c r="O33" i="25" s="1"/>
  <c r="S22" i="25"/>
  <c r="S33" i="25" s="1"/>
  <c r="W22" i="25"/>
  <c r="W33" i="25" s="1"/>
  <c r="AA22" i="25"/>
  <c r="AA33" i="25" s="1"/>
  <c r="AE22" i="25"/>
  <c r="AE33" i="25" s="1"/>
  <c r="AI22" i="25"/>
  <c r="AM22" i="25"/>
  <c r="AQ22" i="25"/>
  <c r="AU22" i="25"/>
  <c r="AY22" i="25"/>
  <c r="Q22" i="25"/>
  <c r="Q33" i="25" s="1"/>
  <c r="AC22" i="25"/>
  <c r="AC33" i="25" s="1"/>
  <c r="AS22" i="25"/>
  <c r="D22" i="25"/>
  <c r="D33" i="25" s="1"/>
  <c r="C5" i="28" s="1"/>
  <c r="H22" i="25"/>
  <c r="H33" i="25" s="1"/>
  <c r="L22" i="25"/>
  <c r="L33" i="25" s="1"/>
  <c r="P22" i="25"/>
  <c r="P33" i="25" s="1"/>
  <c r="T22" i="25"/>
  <c r="T33" i="25" s="1"/>
  <c r="X22" i="25"/>
  <c r="X33" i="25" s="1"/>
  <c r="AB22" i="25"/>
  <c r="AB33" i="25" s="1"/>
  <c r="AF22" i="25"/>
  <c r="AF33" i="25" s="1"/>
  <c r="AJ22" i="25"/>
  <c r="AN22" i="25"/>
  <c r="AR22" i="25"/>
  <c r="AV22" i="25"/>
  <c r="AZ22" i="25"/>
  <c r="I22" i="25"/>
  <c r="I33" i="25" s="1"/>
  <c r="Y22" i="25"/>
  <c r="Y33" i="25" s="1"/>
  <c r="AK22" i="25"/>
  <c r="C22" i="25"/>
  <c r="F22" i="25"/>
  <c r="F33" i="25" s="1"/>
  <c r="J22" i="25"/>
  <c r="J33" i="25" s="1"/>
  <c r="N22" i="25"/>
  <c r="N33" i="25" s="1"/>
  <c r="R22" i="25"/>
  <c r="R33" i="25" s="1"/>
  <c r="V22" i="25"/>
  <c r="V33" i="25" s="1"/>
  <c r="Z22" i="25"/>
  <c r="Z33" i="25" s="1"/>
  <c r="AD22" i="25"/>
  <c r="AD33" i="25" s="1"/>
  <c r="AH22" i="25"/>
  <c r="AL22" i="25"/>
  <c r="AP22" i="25"/>
  <c r="AT22" i="25"/>
  <c r="AX22" i="25"/>
  <c r="E22" i="25"/>
  <c r="E33" i="25" s="1"/>
  <c r="M22" i="25"/>
  <c r="M33" i="25" s="1"/>
  <c r="U22" i="25"/>
  <c r="U33" i="25" s="1"/>
  <c r="AG22" i="25"/>
  <c r="AO22" i="25"/>
  <c r="AW22" i="25"/>
  <c r="C42" i="25"/>
  <c r="E23" i="25"/>
  <c r="E34" i="25" s="1"/>
  <c r="I23" i="25"/>
  <c r="I34" i="25" s="1"/>
  <c r="M23" i="25"/>
  <c r="M34" i="25" s="1"/>
  <c r="Q23" i="25"/>
  <c r="Q34" i="25" s="1"/>
  <c r="U23" i="25"/>
  <c r="U34" i="25" s="1"/>
  <c r="Y23" i="25"/>
  <c r="Y34" i="25" s="1"/>
  <c r="AC23" i="25"/>
  <c r="AC34" i="25" s="1"/>
  <c r="AG23" i="25"/>
  <c r="AK23" i="25"/>
  <c r="AO23" i="25"/>
  <c r="AS23" i="25"/>
  <c r="AW23" i="25"/>
  <c r="C23" i="25"/>
  <c r="G23" i="25"/>
  <c r="G34" i="25" s="1"/>
  <c r="K23" i="25"/>
  <c r="K34" i="25" s="1"/>
  <c r="S23" i="25"/>
  <c r="S34" i="25" s="1"/>
  <c r="W23" i="25"/>
  <c r="W34" i="25" s="1"/>
  <c r="AI23" i="25"/>
  <c r="AY23" i="25"/>
  <c r="C6" i="13"/>
  <c r="F23" i="25"/>
  <c r="F34" i="25" s="1"/>
  <c r="J23" i="25"/>
  <c r="J34" i="25" s="1"/>
  <c r="N23" i="25"/>
  <c r="N34" i="25" s="1"/>
  <c r="R23" i="25"/>
  <c r="R34" i="25" s="1"/>
  <c r="V23" i="25"/>
  <c r="V34" i="25" s="1"/>
  <c r="Z23" i="25"/>
  <c r="Z34" i="25" s="1"/>
  <c r="AD23" i="25"/>
  <c r="AD34" i="25" s="1"/>
  <c r="AH23" i="25"/>
  <c r="AL23" i="25"/>
  <c r="AP23" i="25"/>
  <c r="AT23" i="25"/>
  <c r="AX23" i="25"/>
  <c r="AE23" i="25"/>
  <c r="AE34" i="25" s="1"/>
  <c r="AU23" i="25"/>
  <c r="D23" i="25"/>
  <c r="D34" i="25" s="1"/>
  <c r="C6" i="28" s="1"/>
  <c r="H23" i="25"/>
  <c r="H34" i="25" s="1"/>
  <c r="L23" i="25"/>
  <c r="L34" i="25" s="1"/>
  <c r="P23" i="25"/>
  <c r="P34" i="25" s="1"/>
  <c r="T23" i="25"/>
  <c r="T34" i="25" s="1"/>
  <c r="X23" i="25"/>
  <c r="X34" i="25" s="1"/>
  <c r="AB23" i="25"/>
  <c r="AB34" i="25" s="1"/>
  <c r="AF23" i="25"/>
  <c r="AF34" i="25" s="1"/>
  <c r="AJ23" i="25"/>
  <c r="AN23" i="25"/>
  <c r="AR23" i="25"/>
  <c r="AV23" i="25"/>
  <c r="AZ23" i="25"/>
  <c r="O23" i="25"/>
  <c r="O34" i="25" s="1"/>
  <c r="AA23" i="25"/>
  <c r="AA34" i="25" s="1"/>
  <c r="AM23" i="25"/>
  <c r="AQ23" i="25"/>
  <c r="AF29" i="25"/>
  <c r="C7" i="13"/>
  <c r="F24" i="25"/>
  <c r="K35" i="25" l="1"/>
  <c r="K40" i="25" s="1"/>
  <c r="AD35" i="25"/>
  <c r="AD40" i="25" s="1"/>
  <c r="D42" i="25"/>
  <c r="C44" i="25"/>
  <c r="S35" i="25"/>
  <c r="S40" i="25" s="1"/>
  <c r="T35" i="25"/>
  <c r="T40" i="25" s="1"/>
  <c r="D32" i="25"/>
  <c r="D24" i="25"/>
  <c r="R35" i="25"/>
  <c r="R40" i="25" s="1"/>
  <c r="AC35" i="25"/>
  <c r="AC40" i="25" s="1"/>
  <c r="M35" i="25"/>
  <c r="M40" i="25" s="1"/>
  <c r="AF35" i="25"/>
  <c r="AF40" i="25" s="1"/>
  <c r="N35" i="25"/>
  <c r="N40" i="25" s="1"/>
  <c r="F37" i="25"/>
  <c r="C24" i="25"/>
  <c r="AB35" i="25"/>
  <c r="AB40" i="25" s="1"/>
  <c r="L35" i="25"/>
  <c r="L40" i="25" s="1"/>
  <c r="AA35" i="25"/>
  <c r="AA40" i="25" s="1"/>
  <c r="Z35" i="25"/>
  <c r="Z40" i="25" s="1"/>
  <c r="J35" i="25"/>
  <c r="J40" i="25" s="1"/>
  <c r="W35" i="25"/>
  <c r="W40" i="25" s="1"/>
  <c r="U35" i="25"/>
  <c r="U40" i="25" s="1"/>
  <c r="E32" i="25"/>
  <c r="E35" i="25" s="1"/>
  <c r="E40" i="25" s="1"/>
  <c r="E24" i="25"/>
  <c r="E37" i="25" s="1"/>
  <c r="P35" i="25"/>
  <c r="P40" i="25" s="1"/>
  <c r="AE35" i="25"/>
  <c r="AE40" i="25" s="1"/>
  <c r="X35" i="25"/>
  <c r="X40" i="25" s="1"/>
  <c r="H35" i="25"/>
  <c r="H40" i="25" s="1"/>
  <c r="O35" i="25"/>
  <c r="O40" i="25" s="1"/>
  <c r="V35" i="25"/>
  <c r="V40" i="25" s="1"/>
  <c r="F35" i="25"/>
  <c r="F40" i="25" s="1"/>
  <c r="G35" i="25"/>
  <c r="G40" i="25" s="1"/>
  <c r="Q35" i="25"/>
  <c r="Q40" i="25" s="1"/>
  <c r="AG29" i="25"/>
  <c r="AG33" i="25" s="1"/>
  <c r="G24" i="25"/>
  <c r="G37" i="25" s="1"/>
  <c r="E42" i="25" l="1"/>
  <c r="D44" i="25"/>
  <c r="D45" i="25" s="1"/>
  <c r="AG34" i="25"/>
  <c r="AG32" i="25"/>
  <c r="C4" i="28"/>
  <c r="C7" i="28" s="1"/>
  <c r="D35" i="25"/>
  <c r="D40" i="25" s="1"/>
  <c r="C34" i="25"/>
  <c r="C40" i="25" s="1"/>
  <c r="AH29" i="25"/>
  <c r="H24" i="25"/>
  <c r="H37" i="25" s="1"/>
  <c r="D37" i="25" l="1"/>
  <c r="AH34" i="25"/>
  <c r="AH33" i="25"/>
  <c r="AH32" i="25"/>
  <c r="AG35" i="25"/>
  <c r="AG40" i="25" s="1"/>
  <c r="C45" i="25"/>
  <c r="F42" i="25"/>
  <c r="E44" i="25"/>
  <c r="E45" i="25" s="1"/>
  <c r="AI29" i="25"/>
  <c r="I24" i="25"/>
  <c r="I37" i="25" s="1"/>
  <c r="G42" i="25" l="1"/>
  <c r="F44" i="25"/>
  <c r="F45" i="25" s="1"/>
  <c r="AI32" i="25"/>
  <c r="AI35" i="25" s="1"/>
  <c r="AI40" i="25" s="1"/>
  <c r="AI33" i="25"/>
  <c r="AI34" i="25"/>
  <c r="AH35" i="25"/>
  <c r="AH40" i="25" s="1"/>
  <c r="AJ29" i="25"/>
  <c r="J24" i="25"/>
  <c r="J37" i="25" s="1"/>
  <c r="AJ33" i="25" l="1"/>
  <c r="AJ34" i="25"/>
  <c r="AJ32" i="25"/>
  <c r="AJ35" i="25" s="1"/>
  <c r="AJ40" i="25" s="1"/>
  <c r="H42" i="25"/>
  <c r="G44" i="25"/>
  <c r="G45" i="25" s="1"/>
  <c r="AK29" i="25"/>
  <c r="K24" i="25"/>
  <c r="K37" i="25" s="1"/>
  <c r="AK33" i="25" l="1"/>
  <c r="AK34" i="25"/>
  <c r="AK32" i="25"/>
  <c r="AK35" i="25" s="1"/>
  <c r="AK40" i="25" s="1"/>
  <c r="I42" i="25"/>
  <c r="H44" i="25"/>
  <c r="H45" i="25" s="1"/>
  <c r="AL29" i="25"/>
  <c r="L24" i="25"/>
  <c r="L37" i="25" s="1"/>
  <c r="AL34" i="25" l="1"/>
  <c r="AL32" i="25"/>
  <c r="AL33" i="25"/>
  <c r="J42" i="25"/>
  <c r="I44" i="25"/>
  <c r="I45" i="25" s="1"/>
  <c r="AM29" i="25"/>
  <c r="M24" i="25"/>
  <c r="M37" i="25" s="1"/>
  <c r="AM34" i="25" l="1"/>
  <c r="AM32" i="25"/>
  <c r="AM33" i="25"/>
  <c r="AL35" i="25"/>
  <c r="AL40" i="25" s="1"/>
  <c r="K42" i="25"/>
  <c r="J44" i="25"/>
  <c r="J45" i="25" s="1"/>
  <c r="AN29" i="25"/>
  <c r="N24" i="25"/>
  <c r="N37" i="25" s="1"/>
  <c r="AN33" i="25" l="1"/>
  <c r="AN32" i="25"/>
  <c r="AN34" i="25"/>
  <c r="AM35" i="25"/>
  <c r="AM40" i="25" s="1"/>
  <c r="L42" i="25"/>
  <c r="K44" i="25"/>
  <c r="K45" i="25" s="1"/>
  <c r="AO29" i="25"/>
  <c r="O24" i="25"/>
  <c r="O37" i="25" s="1"/>
  <c r="AN35" i="25" l="1"/>
  <c r="AN40" i="25" s="1"/>
  <c r="M42" i="25"/>
  <c r="L44" i="25"/>
  <c r="L45" i="25" s="1"/>
  <c r="AO34" i="25"/>
  <c r="AO32" i="25"/>
  <c r="AO33" i="25"/>
  <c r="AP29" i="25"/>
  <c r="P24" i="25"/>
  <c r="P37" i="25" s="1"/>
  <c r="AP32" i="25" l="1"/>
  <c r="AP34" i="25"/>
  <c r="AP33" i="25"/>
  <c r="AO35" i="25"/>
  <c r="AO40" i="25" s="1"/>
  <c r="N42" i="25"/>
  <c r="M44" i="25"/>
  <c r="M45" i="25" s="1"/>
  <c r="AQ29" i="25"/>
  <c r="Q24" i="25"/>
  <c r="Q37" i="25" s="1"/>
  <c r="AQ33" i="25" l="1"/>
  <c r="AQ34" i="25"/>
  <c r="AQ32" i="25"/>
  <c r="AQ35" i="25" s="1"/>
  <c r="AQ40" i="25" s="1"/>
  <c r="O42" i="25"/>
  <c r="N44" i="25"/>
  <c r="N45" i="25" s="1"/>
  <c r="AP35" i="25"/>
  <c r="AP40" i="25" s="1"/>
  <c r="AR29" i="25"/>
  <c r="R24" i="25"/>
  <c r="R37" i="25" s="1"/>
  <c r="AR34" i="25" l="1"/>
  <c r="AR33" i="25"/>
  <c r="AR32" i="25"/>
  <c r="AR35" i="25" s="1"/>
  <c r="AR40" i="25" s="1"/>
  <c r="P42" i="25"/>
  <c r="O44" i="25"/>
  <c r="O45" i="25" s="1"/>
  <c r="AS29" i="25"/>
  <c r="S24" i="25"/>
  <c r="S37" i="25" s="1"/>
  <c r="AS34" i="25" l="1"/>
  <c r="AS33" i="25"/>
  <c r="AS32" i="25"/>
  <c r="AS35" i="25" s="1"/>
  <c r="AS40" i="25" s="1"/>
  <c r="Q42" i="25"/>
  <c r="P44" i="25"/>
  <c r="P45" i="25" s="1"/>
  <c r="AT29" i="25"/>
  <c r="T24" i="25"/>
  <c r="T37" i="25" s="1"/>
  <c r="AT32" i="25" l="1"/>
  <c r="AT33" i="25"/>
  <c r="AT34" i="25"/>
  <c r="R42" i="25"/>
  <c r="Q44" i="25"/>
  <c r="Q45" i="25" s="1"/>
  <c r="AU29" i="25"/>
  <c r="U24" i="25"/>
  <c r="U37" i="25" s="1"/>
  <c r="AU33" i="25" l="1"/>
  <c r="AU32" i="25"/>
  <c r="AU34" i="25"/>
  <c r="AT35" i="25"/>
  <c r="AT40" i="25" s="1"/>
  <c r="S42" i="25"/>
  <c r="R44" i="25"/>
  <c r="R45" i="25" s="1"/>
  <c r="AV29" i="25"/>
  <c r="V24" i="25"/>
  <c r="V37" i="25" s="1"/>
  <c r="AV34" i="25" l="1"/>
  <c r="AV32" i="25"/>
  <c r="AV33" i="25"/>
  <c r="AU35" i="25"/>
  <c r="AU40" i="25" s="1"/>
  <c r="T42" i="25"/>
  <c r="S44" i="25"/>
  <c r="S45" i="25" s="1"/>
  <c r="AW29" i="25"/>
  <c r="W24" i="25"/>
  <c r="W37" i="25" s="1"/>
  <c r="AW34" i="25" l="1"/>
  <c r="AW33" i="25"/>
  <c r="AW32" i="25"/>
  <c r="AW35" i="25" s="1"/>
  <c r="AW40" i="25" s="1"/>
  <c r="AV35" i="25"/>
  <c r="AV40" i="25" s="1"/>
  <c r="U42" i="25"/>
  <c r="T44" i="25"/>
  <c r="T45" i="25" s="1"/>
  <c r="AX29" i="25"/>
  <c r="X24" i="25"/>
  <c r="X37" i="25" s="1"/>
  <c r="AX34" i="25" l="1"/>
  <c r="AX33" i="25"/>
  <c r="AX32" i="25"/>
  <c r="AX35" i="25" s="1"/>
  <c r="AX40" i="25" s="1"/>
  <c r="V42" i="25"/>
  <c r="U44" i="25"/>
  <c r="U45" i="25" s="1"/>
  <c r="AY29" i="25"/>
  <c r="Y24" i="25"/>
  <c r="Y37" i="25" s="1"/>
  <c r="AY32" i="25" l="1"/>
  <c r="AY33" i="25"/>
  <c r="AY34" i="25"/>
  <c r="W42" i="25"/>
  <c r="V44" i="25"/>
  <c r="V45" i="25" s="1"/>
  <c r="AZ29" i="25"/>
  <c r="Z24" i="25"/>
  <c r="Z37" i="25" s="1"/>
  <c r="AZ34" i="25" l="1"/>
  <c r="AZ33" i="25"/>
  <c r="AZ32" i="25"/>
  <c r="AZ35" i="25" s="1"/>
  <c r="AZ40" i="25" s="1"/>
  <c r="AY35" i="25"/>
  <c r="AY40" i="25" s="1"/>
  <c r="X42" i="25"/>
  <c r="W44" i="25"/>
  <c r="W45" i="25" s="1"/>
  <c r="AA24" i="25"/>
  <c r="AA37" i="25" s="1"/>
  <c r="Y42" i="25" l="1"/>
  <c r="X44" i="25"/>
  <c r="X45" i="25" s="1"/>
  <c r="AB24" i="25"/>
  <c r="AB37" i="25" s="1"/>
  <c r="Z42" i="25" l="1"/>
  <c r="Y44" i="25"/>
  <c r="Y45" i="25" s="1"/>
  <c r="AC24" i="25"/>
  <c r="AC37" i="25" s="1"/>
  <c r="AA42" i="25" l="1"/>
  <c r="Z44" i="25"/>
  <c r="Z45" i="25" s="1"/>
  <c r="AD24" i="25"/>
  <c r="AD37" i="25" s="1"/>
  <c r="AB42" i="25" l="1"/>
  <c r="AA44" i="25"/>
  <c r="AA45" i="25" s="1"/>
  <c r="AE24" i="25"/>
  <c r="AE37" i="25" s="1"/>
  <c r="AC42" i="25" l="1"/>
  <c r="AB44" i="25"/>
  <c r="AB45" i="25" s="1"/>
  <c r="AF24" i="25"/>
  <c r="AF37" i="25" s="1"/>
  <c r="AD42" i="25" l="1"/>
  <c r="AC44" i="25"/>
  <c r="AC45" i="25" s="1"/>
  <c r="AG24" i="25"/>
  <c r="AG37" i="25" s="1"/>
  <c r="AE42" i="25" l="1"/>
  <c r="AD44" i="25"/>
  <c r="AD45" i="25" s="1"/>
  <c r="AH24" i="25"/>
  <c r="AH37" i="25" s="1"/>
  <c r="AF42" i="25" l="1"/>
  <c r="AE44" i="25"/>
  <c r="AE45" i="25" s="1"/>
  <c r="AI24" i="25"/>
  <c r="AI37" i="25" s="1"/>
  <c r="AG42" i="25" l="1"/>
  <c r="AF44" i="25"/>
  <c r="AF45" i="25" s="1"/>
  <c r="AJ24" i="25"/>
  <c r="AJ37" i="25" s="1"/>
  <c r="AH42" i="25" l="1"/>
  <c r="AG44" i="25"/>
  <c r="AG45" i="25" s="1"/>
  <c r="AK24" i="25"/>
  <c r="AK37" i="25" s="1"/>
  <c r="AI42" i="25" l="1"/>
  <c r="AH44" i="25"/>
  <c r="AH45" i="25" s="1"/>
  <c r="AL24" i="25"/>
  <c r="AL37" i="25" s="1"/>
  <c r="AJ42" i="25" l="1"/>
  <c r="AI44" i="25"/>
  <c r="AI45" i="25" s="1"/>
  <c r="AM24" i="25"/>
  <c r="AM37" i="25" s="1"/>
  <c r="AK42" i="25" l="1"/>
  <c r="AJ44" i="25"/>
  <c r="AJ45" i="25" s="1"/>
  <c r="AN24" i="25"/>
  <c r="AN37" i="25" s="1"/>
  <c r="AL42" i="25" l="1"/>
  <c r="AK44" i="25"/>
  <c r="AK45" i="25" s="1"/>
  <c r="AO24" i="25"/>
  <c r="AO37" i="25" s="1"/>
  <c r="AM42" i="25" l="1"/>
  <c r="AL44" i="25"/>
  <c r="AL45" i="25" s="1"/>
  <c r="AP24" i="25"/>
  <c r="AP37" i="25" s="1"/>
  <c r="AN42" i="25" l="1"/>
  <c r="AM44" i="25"/>
  <c r="AM45" i="25" s="1"/>
  <c r="AQ24" i="25"/>
  <c r="AQ37" i="25" s="1"/>
  <c r="AO42" i="25" l="1"/>
  <c r="AN44" i="25"/>
  <c r="AN45" i="25" s="1"/>
  <c r="AR24" i="25"/>
  <c r="AR37" i="25" s="1"/>
  <c r="AP42" i="25" l="1"/>
  <c r="AO44" i="25"/>
  <c r="AO45" i="25" s="1"/>
  <c r="AS24" i="25"/>
  <c r="AS37" i="25" s="1"/>
  <c r="AQ42" i="25" l="1"/>
  <c r="AP44" i="25"/>
  <c r="AP45" i="25" s="1"/>
  <c r="AT24" i="25"/>
  <c r="AT37" i="25" s="1"/>
  <c r="AR42" i="25" l="1"/>
  <c r="AQ44" i="25"/>
  <c r="AQ45" i="25" s="1"/>
  <c r="AU24" i="25"/>
  <c r="AU37" i="25" s="1"/>
  <c r="AS42" i="25" l="1"/>
  <c r="AR44" i="25"/>
  <c r="AR45" i="25" s="1"/>
  <c r="AV24" i="25"/>
  <c r="AV37" i="25" s="1"/>
  <c r="AT42" i="25" l="1"/>
  <c r="AS44" i="25"/>
  <c r="AS45" i="25" s="1"/>
  <c r="AW24" i="25"/>
  <c r="AW37" i="25" s="1"/>
  <c r="AU42" i="25" l="1"/>
  <c r="AT44" i="25"/>
  <c r="AT45" i="25" s="1"/>
  <c r="AX24" i="25"/>
  <c r="AX37" i="25" s="1"/>
  <c r="AV42" i="25" l="1"/>
  <c r="AU44" i="25"/>
  <c r="AU45" i="25" s="1"/>
  <c r="AZ24" i="25"/>
  <c r="AZ37" i="25" s="1"/>
  <c r="AY24" i="25"/>
  <c r="AY37" i="25" s="1"/>
  <c r="C35" i="25"/>
  <c r="AW42" i="25" l="1"/>
  <c r="AV44" i="25"/>
  <c r="AV45" i="25" s="1"/>
  <c r="AX42" i="25" l="1"/>
  <c r="AW44" i="25"/>
  <c r="AW45" i="25" s="1"/>
  <c r="AY42" i="25" l="1"/>
  <c r="AX44" i="25"/>
  <c r="AX45" i="25" s="1"/>
  <c r="AZ42" i="25" l="1"/>
  <c r="AZ44" i="25" s="1"/>
  <c r="AZ45" i="25" s="1"/>
  <c r="AY44" i="25"/>
  <c r="AY45" i="25" s="1"/>
</calcChain>
</file>

<file path=xl/comments1.xml><?xml version="1.0" encoding="utf-8"?>
<comments xmlns="http://schemas.openxmlformats.org/spreadsheetml/2006/main">
  <authors>
    <author>Goudie, Steve</author>
  </authors>
  <commentList>
    <comment ref="C34" authorId="0" shapeId="0">
      <text>
        <r>
          <rPr>
            <b/>
            <sz val="8"/>
            <color indexed="81"/>
            <rFont val="Tahoma"/>
            <family val="2"/>
          </rPr>
          <t>Goudie, Steve:</t>
        </r>
        <r>
          <rPr>
            <sz val="8"/>
            <color indexed="81"/>
            <rFont val="Tahoma"/>
            <family val="2"/>
          </rPr>
          <t xml:space="preserve">
needed to relfect full survey cost in first year so not total at 50%</t>
        </r>
      </text>
    </comment>
  </commentList>
</comments>
</file>

<file path=xl/sharedStrings.xml><?xml version="1.0" encoding="utf-8"?>
<sst xmlns="http://schemas.openxmlformats.org/spreadsheetml/2006/main" count="794" uniqueCount="397">
  <si>
    <t>Stake Body &amp; Boom Trucks</t>
  </si>
  <si>
    <t xml:space="preserve">Quantity </t>
  </si>
  <si>
    <t>Annual Cost</t>
  </si>
  <si>
    <t>NOTES:</t>
  </si>
  <si>
    <t>Asset Specialist</t>
  </si>
  <si>
    <t>Mechanical Engineer</t>
  </si>
  <si>
    <t>Elecrical Engineer</t>
  </si>
  <si>
    <t>Civil Engineer</t>
  </si>
  <si>
    <t>Planning Engineer</t>
  </si>
  <si>
    <t>Finance</t>
  </si>
  <si>
    <t>HROE</t>
  </si>
  <si>
    <t>Accounting / Buyer / IS</t>
  </si>
  <si>
    <t>Ecologist / Safety Specialist</t>
  </si>
  <si>
    <t>Item</t>
  </si>
  <si>
    <t>Unit</t>
  </si>
  <si>
    <t>hrs</t>
  </si>
  <si>
    <t>Assume new every 3 years</t>
  </si>
  <si>
    <t>Assume new every 5 years</t>
  </si>
  <si>
    <t>Lineworkers</t>
  </si>
  <si>
    <t>P &amp; C Technologist</t>
  </si>
  <si>
    <t>Electricians</t>
  </si>
  <si>
    <t>Trades</t>
  </si>
  <si>
    <t>Classification/Description</t>
  </si>
  <si>
    <t>Annual Cost/Year</t>
  </si>
  <si>
    <t>Comments</t>
  </si>
  <si>
    <t xml:space="preserve">Converter Station - Technical Support </t>
  </si>
  <si>
    <t xml:space="preserve">Control System - Technical Support </t>
  </si>
  <si>
    <t xml:space="preserve">Switchgear/Transformers - Technical Support </t>
  </si>
  <si>
    <t>Salary - NLH Salary grades and ranges effective April 1, 2007</t>
  </si>
  <si>
    <t xml:space="preserve">Submarine Cables - Technical Support </t>
  </si>
  <si>
    <t>All Terrian Vehicle with Tracks</t>
  </si>
  <si>
    <t>Utility Van or Truck (4x2)</t>
  </si>
  <si>
    <t>Extended Cab Pickup (4x4)</t>
  </si>
  <si>
    <t>Assumes $225/hr</t>
  </si>
  <si>
    <t>Sub-Total</t>
  </si>
  <si>
    <t>Crew Cab Pickup (4x4)</t>
  </si>
  <si>
    <t>ha</t>
  </si>
  <si>
    <t>day</t>
  </si>
  <si>
    <t>Liability Insurance Premiums</t>
  </si>
  <si>
    <t>Plant Manager</t>
  </si>
  <si>
    <t>Electrical/Mechanical Engineer</t>
  </si>
  <si>
    <t>Technical Supervisor</t>
  </si>
  <si>
    <t>P&amp;C Operations Mechanical/Electrical</t>
  </si>
  <si>
    <t>Technical Operator</t>
  </si>
  <si>
    <t>Utility</t>
  </si>
  <si>
    <t>Building Maintenance</t>
  </si>
  <si>
    <t>Planner</t>
  </si>
  <si>
    <t>Mechanical/Electrical Trade or Technologist</t>
  </si>
  <si>
    <t>Area Office Clerk</t>
  </si>
  <si>
    <t>Clerk</t>
  </si>
  <si>
    <t>Safety/Environment/Security Co-ordinator</t>
  </si>
  <si>
    <t>Safety &amp; Environment Technologist</t>
  </si>
  <si>
    <t>System Operators</t>
  </si>
  <si>
    <t>ATV</t>
  </si>
  <si>
    <t>Forklift</t>
  </si>
  <si>
    <t>Assume new every 10 years</t>
  </si>
  <si>
    <t>Boom Truck</t>
  </si>
  <si>
    <t>Sissor Lift</t>
  </si>
  <si>
    <t>Snow Blower</t>
  </si>
  <si>
    <t>Work Boat</t>
  </si>
  <si>
    <t xml:space="preserve">Snow Clearing </t>
  </si>
  <si>
    <t xml:space="preserve"> 1 loader for Approx 5 months (includes operator as necessary) </t>
  </si>
  <si>
    <t>Road Maintenance</t>
  </si>
  <si>
    <t xml:space="preserve">50 hrs 2 times per year grader, dump truck &amp; excavator </t>
  </si>
  <si>
    <t>km</t>
  </si>
  <si>
    <t>Janitorial &amp; Garbage Removal</t>
  </si>
  <si>
    <t>1 day/week for 2 people</t>
  </si>
  <si>
    <t xml:space="preserve">Trash removal - Intake &amp; Dam </t>
  </si>
  <si>
    <t xml:space="preserve">8 wks @ $12,000 (dive team) </t>
  </si>
  <si>
    <t>Pest Control</t>
  </si>
  <si>
    <t xml:space="preserve">? </t>
  </si>
  <si>
    <t xml:space="preserve">Generators/Exciters - Technical Support </t>
  </si>
  <si>
    <t xml:space="preserve">Turbine/Governors - Technical Support </t>
  </si>
  <si>
    <t>Diving Inspections</t>
  </si>
  <si>
    <t>2 inspections per year</t>
  </si>
  <si>
    <t>Elevator Inspections</t>
  </si>
  <si>
    <t>1 inspections per year</t>
  </si>
  <si>
    <t>Fire Panel Inspections</t>
  </si>
  <si>
    <t>Fire Suppression Systems Inspections</t>
  </si>
  <si>
    <t>Crane &amp; Hoist Inspections</t>
  </si>
  <si>
    <t>Pressure Vessel Inspections</t>
  </si>
  <si>
    <t>Air Conditioner Inspections</t>
  </si>
  <si>
    <t>Dyke Board Inspections</t>
  </si>
  <si>
    <t>Property and Equipment Policy Premiums</t>
  </si>
  <si>
    <t>Base Salary</t>
  </si>
  <si>
    <t>O/H</t>
  </si>
  <si>
    <t>Notes</t>
  </si>
  <si>
    <t>c</t>
  </si>
  <si>
    <t>IS Support</t>
  </si>
  <si>
    <t>JM NOTES:</t>
  </si>
  <si>
    <t>a</t>
  </si>
  <si>
    <t>b</t>
  </si>
  <si>
    <t>d</t>
  </si>
  <si>
    <t>e</t>
  </si>
  <si>
    <t>Overtime allowance</t>
  </si>
  <si>
    <t>Mechanic</t>
  </si>
  <si>
    <t>Electrician</t>
  </si>
  <si>
    <t>Technologist</t>
  </si>
  <si>
    <t>f, i</t>
  </si>
  <si>
    <t>j</t>
  </si>
  <si>
    <t>k</t>
  </si>
  <si>
    <t>l</t>
  </si>
  <si>
    <t>m</t>
  </si>
  <si>
    <t>n</t>
  </si>
  <si>
    <t>o</t>
  </si>
  <si>
    <t>p</t>
  </si>
  <si>
    <t>q</t>
  </si>
  <si>
    <t>Generation Coordinator</t>
  </si>
  <si>
    <t>Operations Planning Engineer</t>
  </si>
  <si>
    <t>System performance Engineer</t>
  </si>
  <si>
    <t>r</t>
  </si>
  <si>
    <t>s</t>
  </si>
  <si>
    <t>f, t</t>
  </si>
  <si>
    <t>Labour contract (Mech, elec, other trades)</t>
  </si>
  <si>
    <t>u</t>
  </si>
  <si>
    <t>v</t>
  </si>
  <si>
    <t>Fuel (diesel generators)</t>
  </si>
  <si>
    <t>Emergency diesel generator maintenance</t>
  </si>
  <si>
    <t>Fuel and maintenance</t>
  </si>
  <si>
    <t>Travel</t>
  </si>
  <si>
    <t>Training</t>
  </si>
  <si>
    <t>w</t>
  </si>
  <si>
    <t>x</t>
  </si>
  <si>
    <t>z</t>
  </si>
  <si>
    <t>Business Interruption Insurance</t>
  </si>
  <si>
    <t>Terminal maintenance A</t>
  </si>
  <si>
    <t>Supervisor</t>
  </si>
  <si>
    <t>Equipment engineer</t>
  </si>
  <si>
    <t>Altec AH100</t>
  </si>
  <si>
    <t>f</t>
  </si>
  <si>
    <t>g</t>
  </si>
  <si>
    <t>Travel expenses</t>
  </si>
  <si>
    <t>Maintenance and fuel</t>
  </si>
  <si>
    <t>h</t>
  </si>
  <si>
    <t>i</t>
  </si>
  <si>
    <t>Vegetation Management - special treatment</t>
  </si>
  <si>
    <t>P&amp;C Technologist</t>
  </si>
  <si>
    <t>Network Services Technologist</t>
  </si>
  <si>
    <t>Terminal maintenance B</t>
  </si>
  <si>
    <t>Vegitation inspector</t>
  </si>
  <si>
    <t>Utility Worker</t>
  </si>
  <si>
    <t>f, g</t>
  </si>
  <si>
    <t>hr</t>
  </si>
  <si>
    <t>t</t>
  </si>
  <si>
    <t>Parts and materials</t>
  </si>
  <si>
    <t xml:space="preserve"> </t>
  </si>
  <si>
    <t>l.  Duties performed by Plant Engineer with assistance from operators, Reg Operations and PE&amp;TS</t>
  </si>
  <si>
    <t>p.  Duties performed by office clerk</t>
  </si>
  <si>
    <t>a.  Based on CFLCo rates</t>
  </si>
  <si>
    <t>b.  Based on Hydro rates</t>
  </si>
  <si>
    <t>e.  Provided by Equipment Engineer and PE&amp;TS</t>
  </si>
  <si>
    <t>f.  All support costs are estimated individually - personnel, vehicles, travel, etc</t>
  </si>
  <si>
    <t>h.  Based on BDE budget</t>
  </si>
  <si>
    <t>f.  Hydro rates</t>
  </si>
  <si>
    <t>k.  Routine activity within Nalcor</t>
  </si>
  <si>
    <t>o.   All support costs are estimated individually - personnel, vehicles, travel, etc</t>
  </si>
  <si>
    <t>a.  Rate from M Leonard 2012-01-24</t>
  </si>
  <si>
    <t>d.  Included in IS support personel</t>
  </si>
  <si>
    <t>b.  Based on Mgr Hydro Generation - Hydro</t>
  </si>
  <si>
    <t>c.   Based on  Plant Engineer - Hydro</t>
  </si>
  <si>
    <t>d.  Based on  Hydro Plant Operator - Hydro</t>
  </si>
  <si>
    <t>e.  Based on  Labour Manager Hydro – Operations &amp; Tech.</t>
  </si>
  <si>
    <t>f.  Trades expected to do some utility work. Use contractor for plant cleaning and  major utility work.</t>
  </si>
  <si>
    <t>g.  Based on  Electrical Maint A</t>
  </si>
  <si>
    <t>h.  Based on  Mech Maint A</t>
  </si>
  <si>
    <t>i.  Based on  Technologist</t>
  </si>
  <si>
    <t>m. Based on  Area Office Clerk</t>
  </si>
  <si>
    <t>n.  Based on  Office Clerk</t>
  </si>
  <si>
    <t>o.  Based on  Safety and Env Coordinator</t>
  </si>
  <si>
    <t>k.  Based on  Planner Hydro</t>
  </si>
  <si>
    <t>z.  Initial maintenance tools and equipment are included in the project capital cost. Annual allowance is for replacement (loss and breakage) and additional tools and equipment, based on BDE.</t>
  </si>
  <si>
    <t>Electrical Technologist</t>
  </si>
  <si>
    <t>i.  Initial complement of tools and equipment is funded by capital project. This annual budget for tools and equipment is based on BDE</t>
  </si>
  <si>
    <t>e.  Experience has shown that in areas which have been cut rather than treated with herbicide, the cutting stimulates the growth of hardwood species present, requiring more frequent cutting.  This allowance is provided for cutting hardwoods every 5 years , using an estimated 25% hardwood content (A guess by Ken Sparkes - there is no supporting information available) in the area to be cut rather than sprayed. A higher unit rate is used due to the "culling" nature of this activity, rather than clear cutting, which requires more travel time (on foot and by helicopter) per hectare. In these areas there would be a general cut and drop every 10 years and a hardwood cut and drop every 5 years.</t>
  </si>
  <si>
    <t>j.  Most support by Hydro personnel</t>
  </si>
  <si>
    <t>q.  From TRO - $750 per km for 230 kV steel; assuming 50/50 labour/materials, material cost is therefore $375/km. Prorate 1.5 for higher voltage class and 0.8 for number of conductors. Conservatively high because average age of existing Hydro lines is approx 40 years.</t>
  </si>
  <si>
    <t>Notes:</t>
  </si>
  <si>
    <r>
      <t># of FTEs</t>
    </r>
    <r>
      <rPr>
        <b/>
        <vertAlign val="superscript"/>
        <sz val="12"/>
        <rFont val="Calibri"/>
        <family val="2"/>
      </rPr>
      <t>b</t>
    </r>
  </si>
  <si>
    <t>d.  Email from Gail Cullen (M  Leonard) 2012-01-23.</t>
  </si>
  <si>
    <t>Sub total</t>
  </si>
  <si>
    <t>Total Cost/Year:</t>
  </si>
  <si>
    <t>Miscellaneous and consumables</t>
  </si>
  <si>
    <t>x.   Based on Bay D'Espoir Budget</t>
  </si>
  <si>
    <t>Maintenance Tools &amp; Equipment</t>
  </si>
  <si>
    <t>Sub-total</t>
  </si>
  <si>
    <t xml:space="preserve">Vehicles </t>
  </si>
  <si>
    <t>Service Contracts</t>
  </si>
  <si>
    <t>Materials</t>
  </si>
  <si>
    <t>Project Execution and Technical Services</t>
  </si>
  <si>
    <t>Energy Control Center</t>
  </si>
  <si>
    <t>Staff</t>
  </si>
  <si>
    <t>Snowmobile</t>
  </si>
  <si>
    <t>u.  Initial 5 years of operation only</t>
  </si>
  <si>
    <t>v.  Assume 4 tradespeople, 500 hrs/year weach at contractor rate of $100/hr.</t>
  </si>
  <si>
    <t>a.  2012-01-24 M Leonard.  0.038% of $2.3 billion</t>
  </si>
  <si>
    <t>Overhead</t>
  </si>
  <si>
    <t>Depreciation Years</t>
  </si>
  <si>
    <t>Plant Engineer/Asset Specialist</t>
  </si>
  <si>
    <t>j.  Plant Engineer performs this role until Gull Island is built, at which time a dedicated Asset Specialist will be hired.</t>
  </si>
  <si>
    <t>c, j</t>
  </si>
  <si>
    <t>Clerical/Document Control/Warehousing</t>
  </si>
  <si>
    <t>Miscellaneous Costs</t>
  </si>
  <si>
    <t>Unit Cost</t>
  </si>
  <si>
    <t>Trade</t>
  </si>
  <si>
    <t>Administration/Management Systems/Accounting</t>
  </si>
  <si>
    <t>Air fare, accomodations, per deims</t>
  </si>
  <si>
    <t>Training courses</t>
  </si>
  <si>
    <t>f,h</t>
  </si>
  <si>
    <t>t.  Based on  Utility Worker. Performs basic utility work but larger utility jobs are performed by contractor.</t>
  </si>
  <si>
    <t>q.  Based on O/T at BDE for staff , excluding Plant Manager, PlanT Engineer, Safety/Environmental/Security Co-ordinator</t>
  </si>
  <si>
    <t>r.  Based on vehicle lives accepted by PUB</t>
  </si>
  <si>
    <t>s.  Cost of Provincial inspector and expenses</t>
  </si>
  <si>
    <t>y</t>
  </si>
  <si>
    <t>y.  Costs for Dyke Board of Consultants prorated based on time alocated to Muskrat Falls.</t>
  </si>
  <si>
    <t>w. Inspection and routine maintenance</t>
  </si>
  <si>
    <t>CF(L)Co Staff - Switchyard at Chruchull Falls</t>
  </si>
  <si>
    <t>Hydro staff in HV-GB - Trandmission, switchyard distribution</t>
  </si>
  <si>
    <t>Vehicles</t>
  </si>
  <si>
    <t>a. Labrador salaries based on Hydro rates , except for Churchill Falls Terminal Station which are based on Churchill Falls rates.</t>
  </si>
  <si>
    <t>c. Does not include Sinking Fund, Lenders Audit costs or any other finance related costs.</t>
  </si>
  <si>
    <t>j.  Nalcor does not insure transmission assets</t>
  </si>
  <si>
    <t>Base salary</t>
  </si>
  <si>
    <t>Helicopter Rental</t>
  </si>
  <si>
    <t>Vegetation Management</t>
  </si>
  <si>
    <t>Miscellaneous</t>
  </si>
  <si>
    <t>n. Semi annual line patrols and emergency maintenance.</t>
  </si>
  <si>
    <t>aa</t>
  </si>
  <si>
    <t>aa. Based on analysis performed by Besaw/Broderick for justification of automated trash removal system.</t>
  </si>
  <si>
    <t>Lubricants, chemicals, gases, hardware, etc.</t>
  </si>
  <si>
    <t>Small tractor with bucket and snowblower</t>
  </si>
  <si>
    <t>Trades &amp; Technologists</t>
  </si>
  <si>
    <t>g.  Based on BDE rather than BF line crews, due to nature of geography. At least 1/2 of line crew work will be based out of HV-GB and crews will be home each night</t>
  </si>
  <si>
    <t>c.  Required to access towers and insulators on AC and DC lines in Labrador</t>
  </si>
  <si>
    <t>k.  10% of ROW cleared every year; all accessable by vehicle therefore control can be by spraying at TRO contractor rate $750 per hectare , plus a mob/demob cost of $10k.</t>
  </si>
  <si>
    <t xml:space="preserve">m.  Services lives as agreed with PUB for Hydro vehicles. </t>
  </si>
  <si>
    <t>l. From TRO - $750 per km for 230 kV steel; assuming 50/50 labour/materials, material cost is therefore $375/km. Prorate 1.15 for higher voltage class. Conservatively high because average age of existing Hydro lines is approx 40 years.</t>
  </si>
  <si>
    <t>Personnel - Labrador Facilities</t>
  </si>
  <si>
    <t>Personnel - TRO Northern/Central</t>
  </si>
  <si>
    <t>Bucket Trucks</t>
  </si>
  <si>
    <t>Vegetation Management - herbicide</t>
  </si>
  <si>
    <t>Vegetation Management - manual clearing</t>
  </si>
  <si>
    <t>l, i</t>
  </si>
  <si>
    <t>l.  Assist tech staff during first condition assessment tests. Should be able to reduce requirement when experience is developed in house.</t>
  </si>
  <si>
    <t>Personnel - Soldiers Pond:</t>
  </si>
  <si>
    <t xml:space="preserve">v. Storage and preservation cost for spare cable segment on turntable. </t>
  </si>
  <si>
    <t>Submarine Cable, Sea Electrodes</t>
  </si>
  <si>
    <t>Sea Electrode Assessment</t>
  </si>
  <si>
    <t>Cable Survey</t>
  </si>
  <si>
    <t xml:space="preserve">m.  Survey in years 1 &amp; 3, then every five years, taking approximately 40 days to complete (5 days per cable + 5 days for mob/demob + 6 days for transit + 4 days for weather downtime).  </t>
  </si>
  <si>
    <t>n.  Nominal amount for cable berm remediation.</t>
  </si>
  <si>
    <t>Material Allowance</t>
  </si>
  <si>
    <t xml:space="preserve">Property and Equipment Insurance Premiums </t>
  </si>
  <si>
    <t xml:space="preserve">u. Submarine cable repair allowance is based on an estimated failure rate of 0.1 failures per 100 km per year. (This number is based on historical submarine cable failure for an embedded submarine cable project). The estimated cost per failure for an embedded submarine cable was $6 million in 1998 (Teshmont report) approximated at $50 million in 2008.  This value assumes mobilization of a rock removal and replacement vessel along with a separate repair vessel which would be covered under the Property and Equipment Policy with the assumption of a $250k deductible per event. </t>
  </si>
  <si>
    <t>b.  Nalcor does not insure transmission lines.</t>
  </si>
  <si>
    <t>a, b</t>
  </si>
  <si>
    <t>Submarine Cable Repairs</t>
  </si>
  <si>
    <t>Materials - Transmission Repairs</t>
  </si>
  <si>
    <t>Converter/terminal station maintenance</t>
  </si>
  <si>
    <t>Materials - Communications system</t>
  </si>
  <si>
    <t>Converter/terminal/transition stations</t>
  </si>
  <si>
    <t>t.  Depreciation years accepted by PUB for Hydro.</t>
  </si>
  <si>
    <t>Total Corporate and Energy Control Center</t>
  </si>
  <si>
    <t>c.  Staff and costs for portion of line in Labrador included on sheet "MF to CL TL"</t>
  </si>
  <si>
    <t>d.  Assume vegetation control every 10 years (10% performed each year). 16% of line is accessible only by helicopter and the cut and drop method will be used; 84% of the length is accessible by vehicle and will be controlled using herbicide spray. Percentages from the Clearing and Access Study.</t>
  </si>
  <si>
    <t>g.  Routine maintenance by HRD or WBN staff.</t>
  </si>
  <si>
    <t>h.  Excludes helicopter rental for vegetation control, which is included in the per hectare clearing rates. Useage based on Hydro experience of 230 hours per year on 3500 km of transmission lines, with an allowance of 50% added due to remote terrain along part of route.</t>
  </si>
  <si>
    <t>i.  $300/hr typical for major manufacturers. Support will be frequent in early years, then taper off to a nomlnal amount in later years as staff gains experience in converter station equipment.</t>
  </si>
  <si>
    <t>s.  Snowclearing, fence repairs, road repairs, building maintenance, by contractors at two terminal/converter stations and two transition stations.</t>
  </si>
  <si>
    <t>p.  Based on BDE budget. Initial stock of tools will be provided from project capital budget. In initial 5 years of operation this amount will be as stated, then will reduce to about $100k/yr..</t>
  </si>
  <si>
    <t>aa. Nominal amount</t>
  </si>
  <si>
    <t>r.  Materials for maintenance of TS HV equipment and controls (breakers, switches, PTs, CTs, etc) at two converter/terminal stations two transition stations. Larger items will be included in 50 year capital plan.</t>
  </si>
  <si>
    <t>Air fare, vehicle rental, accomodations, per deims.</t>
  </si>
  <si>
    <t>P&amp;C Engineer</t>
  </si>
  <si>
    <t>Network Services Engineer</t>
  </si>
  <si>
    <t>c.  Based on  Power System Operator</t>
  </si>
  <si>
    <t>Consulting Services</t>
  </si>
  <si>
    <t>b.  FTE = Full Time Equivalent</t>
  </si>
  <si>
    <t>a.  See LCP-PT-MD-0000-PM-PH-0001-01 Operations and Maintenance Philosophy for staffing levels for all locations.</t>
  </si>
  <si>
    <t>f.   Based on  System Performance Engineer</t>
  </si>
  <si>
    <t>Return to Summary Sheet</t>
  </si>
  <si>
    <t>SOBI Seabed Crossing - DG3 Estimate</t>
  </si>
  <si>
    <t>SOBI Marine Crossing Operating Costs</t>
  </si>
  <si>
    <t>Detail</t>
  </si>
  <si>
    <t>Quantity</t>
  </si>
  <si>
    <t>Assumptions</t>
  </si>
  <si>
    <t>Onshore Inspection and Testing for the first two years</t>
  </si>
  <si>
    <t>/Scheduled Maintainance</t>
  </si>
  <si>
    <t>DTS Unit Replacement</t>
  </si>
  <si>
    <t>/unit</t>
  </si>
  <si>
    <t>Replaced once every 10 years</t>
  </si>
  <si>
    <t>Total</t>
  </si>
  <si>
    <t>/day</t>
  </si>
  <si>
    <t>Mob</t>
  </si>
  <si>
    <t>days</t>
  </si>
  <si>
    <t>Survey duration</t>
  </si>
  <si>
    <t>Offshore Costs</t>
  </si>
  <si>
    <t>Contingency</t>
  </si>
  <si>
    <t>Annualized Cost based on Worksheet "SOBI"</t>
  </si>
  <si>
    <t>Muskrat Falls: 23.95 %; MF to CF 345 kV TL: 19.28%; Island Link: 56.77%</t>
  </si>
  <si>
    <t>Corporate &amp; Energy Control Center Allocated Costs</t>
  </si>
  <si>
    <t>Corporate &amp; ECC</t>
  </si>
  <si>
    <t>Misc Expenses</t>
  </si>
  <si>
    <t>Submarine Cable/Sea Electrodes</t>
  </si>
  <si>
    <t>Year:</t>
  </si>
  <si>
    <t>Total:</t>
  </si>
  <si>
    <t>w. Provisional allowance only.  Electrode replacement will be very infrequent and is included in 50 year sustaining capital plan.</t>
  </si>
  <si>
    <t>Subsea Cable including seabed protection</t>
  </si>
  <si>
    <t>Labrador Transmisson Assets</t>
  </si>
  <si>
    <t>Muskrat Falls Generation Annual Opex</t>
  </si>
  <si>
    <t>Labrador Transmission Assets Annual Opex</t>
  </si>
  <si>
    <t>Labrador - Island Transmission Link Annual Opex</t>
  </si>
  <si>
    <t>MF, LTA and LITL O&amp;M Estimate</t>
  </si>
  <si>
    <t>Labrador - Island Transmission Link</t>
  </si>
  <si>
    <t>Labrador Transmission Assets</t>
  </si>
  <si>
    <t>Muskrat Falls Generation</t>
  </si>
  <si>
    <t>Sub-Project</t>
  </si>
  <si>
    <t>d. This budget for year 1 of operation will be typical for subsequent years, with minor adjustments and incorporating inflation. The exception is the frequency of subsea cable inspections; see sheet "LITL" for details. Periodic larger expenditures for equipment replacement, major repair and overhaul are considered to be capital projects and will be included in the 50 year capital plan.</t>
  </si>
  <si>
    <t>Labrador - Island Transmisson Link</t>
  </si>
  <si>
    <t>Demob</t>
  </si>
  <si>
    <t>Cost Per Survey</t>
  </si>
  <si>
    <t>Spread Cost</t>
  </si>
  <si>
    <t>Includes Vessel + ROV</t>
  </si>
  <si>
    <t>Technical / PM Support</t>
  </si>
  <si>
    <t>per survey</t>
  </si>
  <si>
    <t>Covers third party PM and technical support for survey activity.</t>
  </si>
  <si>
    <t>Cable Storage and Preservation Allowance</t>
  </si>
  <si>
    <t>Based upon value of asset, less Eng., EA &amp; Historical</t>
  </si>
  <si>
    <t>Based upon value of non-OL TL asset, less Eng., EA &amp; Historical</t>
  </si>
  <si>
    <t>per $ insured</t>
  </si>
  <si>
    <t xml:space="preserve">Total </t>
  </si>
  <si>
    <t>N/A</t>
  </si>
  <si>
    <t>e.  Rate from M Leonard 2012-01-24. Expect financiers to insist on this coverage for project. Rate is high (2%) because of cable exposure, with which they claim there is not a lot of experience. Revenue estimated at 4.9 TWhr with 8% losses and $0.05/kWhr - VOID</t>
  </si>
  <si>
    <t>FTE</t>
  </si>
  <si>
    <t>e,B</t>
  </si>
  <si>
    <t>e, B</t>
  </si>
  <si>
    <t>B. Removed by Rob Henderson after discussion with Jim Meaney and reflection of the NLH PPA arrangement</t>
  </si>
  <si>
    <t>A. Reduced by Rob Henderson following a review with Bob Butler of System Operations</t>
  </si>
  <si>
    <t>G  Corporate Costs allocated to the three components based on O&amp;M estimate for each components.  Allocation percentage for each component are:</t>
  </si>
  <si>
    <t>G  ECC Costs allocated to the three components based on O&amp;M estimate for each components.  Allocation percentage for each component are:</t>
  </si>
  <si>
    <t>Energy Control Center Staff</t>
  </si>
  <si>
    <t>a,A</t>
  </si>
  <si>
    <t>d.  Based on  Power System Operator</t>
  </si>
  <si>
    <t>c.   Based on  System Performance Engineer</t>
  </si>
  <si>
    <t>a.   Based on  Power System Operator</t>
  </si>
  <si>
    <t>c, A</t>
  </si>
  <si>
    <t>e.  Corporate Costs allocated to the 3 sub-Projects based on O&amp;M estimate for each components.  Allocation percentage for each component are: Muskrat Falls: 23.95 %; LTA: 19.28%; LITL: 56.77%</t>
  </si>
  <si>
    <t>f.  ECC costs allocated to the 2 sub-Projects  based upon LTA = 25%, LITL = 75%</t>
  </si>
  <si>
    <t>Corporate Support Allocated Costs</t>
  </si>
  <si>
    <t>Lot</t>
  </si>
  <si>
    <t>each</t>
  </si>
  <si>
    <t>LOT</t>
  </si>
  <si>
    <t>Air fare, vehicle rental, accomodations, per diems</t>
  </si>
  <si>
    <t>x. Not used</t>
  </si>
  <si>
    <t>b,B</t>
  </si>
  <si>
    <t>B. Only part of the time of the crew will be on the two 315kV lines and terminal stations. The remainder of their time will be working on the LIL.</t>
  </si>
  <si>
    <t>g,C</t>
  </si>
  <si>
    <t>C. Allowance for travel to Churchill Falls to work on the Churchill Falls Terminal Station</t>
  </si>
  <si>
    <t>m,B</t>
  </si>
  <si>
    <t>c, m,B</t>
  </si>
  <si>
    <t>h,B</t>
  </si>
  <si>
    <t>n,B</t>
  </si>
  <si>
    <t>k,B</t>
  </si>
  <si>
    <t>D</t>
  </si>
  <si>
    <t>A. CF(L)Co will have only two additional 735 kV Breakers and some bus work. Therefore no travel. The new station in Churchill Falls  terminal station will be maintained by Nalcor staff stationed in Happy Valley.</t>
  </si>
  <si>
    <t>John Mallam's Notes:</t>
  </si>
  <si>
    <t>RJH Notes for Efficiency Adjustments</t>
  </si>
  <si>
    <t>Control System - Technical Support</t>
  </si>
  <si>
    <t xml:space="preserve">(3rd </t>
  </si>
  <si>
    <t xml:space="preserve">3rd Party Support </t>
  </si>
  <si>
    <t>Vegetation Management Contractor</t>
  </si>
  <si>
    <t>DG3 O&amp;M Budget - MF, LTA &amp; LITL - Overview</t>
  </si>
  <si>
    <t>Corporate Overhead</t>
  </si>
  <si>
    <t>Corporate Support Annual Overhead</t>
  </si>
  <si>
    <t>Energy Control Centre Annual OPEX</t>
  </si>
  <si>
    <t>Contingency (15%)</t>
  </si>
  <si>
    <t>Based on 1 inspection per year for the first 2 years, 1 per every 2 years for the next 10 years, then 1 per 5 years for the remaining life of field.  15% contingency included.</t>
  </si>
  <si>
    <t>b. Costs in January 2012 CDN dollars including 15% Contingency.</t>
  </si>
  <si>
    <r>
      <rPr>
        <b/>
        <sz val="11"/>
        <rFont val="Calibri"/>
        <family val="2"/>
        <scheme val="minor"/>
      </rPr>
      <t xml:space="preserve">Based on 3 visits in the first 2 years and 1 visit per year for life of field.
</t>
    </r>
    <r>
      <rPr>
        <sz val="11"/>
        <rFont val="Calibri"/>
        <family val="2"/>
        <scheme val="minor"/>
      </rPr>
      <t>Visual inspection of the cleats and steelwork structure
Pre-pressured pressured tanks and pipe work to be inspected
link-boxes inspected for corrosion and cleaned and sprayed with a rust inhibiting paint
inside of the link-boxes examined
Within the link-box contact resistance tests made across all link contacts
The integrity of the serving checked by TDR testing.
The spare cable visually inspected.
Spare accessories materials / compounds inspected to ensure that the shelf life has not been exceeded
Porcelains of the terminations, and the surge arresters cleaned for salt deposits and contaminants that could impair the creepage</t>
    </r>
  </si>
  <si>
    <t>Onshore Inspection Cost</t>
  </si>
  <si>
    <t>Offshore</t>
  </si>
  <si>
    <t>Nominal $</t>
  </si>
  <si>
    <t>Escalator Index</t>
  </si>
  <si>
    <t>Project Opex</t>
  </si>
  <si>
    <t>Muskrat Falls</t>
  </si>
  <si>
    <t>LTA</t>
  </si>
  <si>
    <t>LIL</t>
  </si>
  <si>
    <t>Total Opex</t>
  </si>
  <si>
    <t>Check</t>
  </si>
  <si>
    <t>Totals as Per Opex Transmittal 000s</t>
  </si>
  <si>
    <t>LIL Base Opex 2012$</t>
  </si>
  <si>
    <t>Cable Survey related 2012$</t>
  </si>
  <si>
    <t>Nominal LIL Opex</t>
  </si>
  <si>
    <t>labour %</t>
  </si>
  <si>
    <t>check LIL</t>
  </si>
  <si>
    <t>Annual Cost/Base Year</t>
  </si>
  <si>
    <t xml:space="preserve">This Operating Budget was based on the Operating Budget prepared for DG2, which was amended to reflect the changes which have occurred between DG2 and DG3. The budget draws on the Newfoundland and Labrador Hydro Operations annual budget for 2011. The budget includes costs associated with the operation and maintenance of the Muskrat Falls hydro power plant, converter and terminal stations at Soldiers pond and Muskrat Falls, terminal station extension, two 315 kVac transmission lines from Muskrat Falls to Churchill Falls, 350 kVdc transmission from Muskrat Falls to Soldiers Pond, transition compounds on each side of the Strait of Belle Isle, the Strait of Belle Isle cable crossing, electrode lines and electrodes in Labrador and Newfoundland and the related operation of the Energy Control Center in Hydro Place and includes a 15% contingency. It does not include depreciation, financing costs and related costs, such as lenders audit or inspection costs, capital fund for extraordinary repair, etc..
The budget includes minor sustaining capital items, such as the replacement of pumps, compressors, thyristors, etc., but does not include major capital items such as runner and transformer replacements and generator rewinds as these events are not expected to occur within the first 50 years of operation. It has been assumed that routine day to day maintenance will be performed by facility staff aided by Nalcor staff from other locations as required and that major repair, modification and replacement will be performed by contractors. Similarly, it has been assumed that normal technical support will be provided by facilities staff, augmented by Project Execution and Technical Services staff. Extraordinary technical support will be provided by OEM technical staff, consultants, service providers and other contractors. The costs for these services were based on the Holyrood experience, where service contracts have been used for many years for technical support, maintenance and repair. The Muskrat Falls complex (powerhouse, intake, dam, spillway) will be subjected to a semiannual inspection and assessment by Nalcor’s Dyke Review Board of Consultants. 
Staff numbers and philosophy used to build the budget are those contained in Operations and Maintenance Philosophy LCP-PT-MD-0000-PM-PH-0001-01. Salaries are based on current Newfoundland and Labrador Hydro rates, except for the new positions at Churchill Falls, which are based on current CFLCo rates and benefits. The Muskrat Falls plant will have a relatively small staff and it is expected that the few tradesmen on site will assist each other (limited cross-trading) and that the utility staff will also be flexible in their duties, providing assistance to the trades as required. 
It was assumed that Nalcor would increase its staff in Happy Valley Goose Bay to perform all inspection, maintenance and repair on the AC and DC lines in Labrador. If this does not occur and personnel are brought from the Island, the budget will have to be increased to include additional travel and accommodation costs. As with the other LCP facilities, it was assumed that major repair and maintenance will be performed by contractors.
Trash removal at Muskrat Falls will be accomplished by two methods. An automated trash removal system will remove trash from the intakes and dump it into trucks provided by a contractor. Trash accumulating on the trash boom and other upstream areas will be removed by boat to a landing on the North shore of the reservoir. This trash will be removed from this location by contractor’s trucks. All trash will be removed from the site and either chipped or landfilled by a contractor. No allowance has been provided for trash removal downstream of the plant, as this is not expected to be a problem.  
The budget provides for environmental activities similar to those employed at existing Nalcor generating, terminal and transmission facilities. As the details of pending environmental approvals and permits were not known at the time of the preparation of this budget, the implications of permits on operating costs should be assessed as details become available.  
Insurance costs were based on discussion with Hydro’s Risk and Insurance Department, which consulted FM Global for typical rates. These rates will be adjusted as the design of the project progresses and FM Global develops a more thorough knowledge of the project details. 
Allowance has been included for the annual purchase of tools and equipment. It was assumed that each facility will be supplied with the tools and equipment required for adjustment, maintenance and repair, funded by the capital project. Inevitably, some necessary tools and equipment will be overlooked and annually some tools will be lost, broken or the need for additional tools and equipment will be identified. This allowance has been included to cover this cost.
Administrative functions will be provided by Nalcor staff at Hydro Place, or other locations and billed to the appropriate company at established rates. Provisions for these administrative costs have been included.
Modified by Rob Henderson to reflect reduced requirement at Churchill Falls for extension and for efficiency of TRO Labrador doing terminal work on 315 kV in Churchill Falls.        
</t>
  </si>
  <si>
    <t>b. Costs in 2017 CDN dollars including 15% Contingency.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</si>
</sst>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0.000%"/>
    <numFmt numFmtId="168" formatCode="#,##0.0_);\(#,##0.0\)"/>
    <numFmt numFmtId="169" formatCode="0.0%"/>
    <numFmt numFmtId="170" formatCode="&quot;$&quot;#,##0"/>
    <numFmt numFmtId="171" formatCode="_-* #,##0_-;\-* #,##0_-;_-* &quot;-&quot;??_-;_-@_-"/>
    <numFmt numFmtId="172" formatCode="#,##0.0;\-#,##0.0"/>
    <numFmt numFmtId="173" formatCode="0.0"/>
    <numFmt numFmtId="174" formatCode="0.000"/>
    <numFmt numFmtId="175" formatCode="_(&quot;$&quot;* #,##0.000_);_(&quot;$&quot;* \(#,##0.000\);_(&quot;$&quot;* &quot;-&quot;???_);_(@_)"/>
    <numFmt numFmtId="176" formatCode="_(&quot;$&quot;* #,##0_);_(&quot;$&quot;* \(#,##0\);_(&quot;$&quot;* &quot;-&quot;??_);_(@_)"/>
    <numFmt numFmtId="177" formatCode="_(* #,##0_);_(* \(#,##0\);_(* &quot;-&quot;??_);_(@_)"/>
  </numFmts>
  <fonts count="64" x14ac:knownFonts="1">
    <font>
      <sz val="10"/>
      <name val="Arial"/>
    </font>
    <font>
      <sz val="11"/>
      <color theme="1"/>
      <name val="Calibri"/>
      <family val="2"/>
    </font>
    <font>
      <sz val="11"/>
      <color theme="1"/>
      <name val="Calibri"/>
      <family val="2"/>
    </font>
    <font>
      <sz val="10"/>
      <name val="Arial"/>
      <family val="2"/>
    </font>
    <font>
      <sz val="8"/>
      <name val="Arial"/>
      <family val="2"/>
    </font>
    <font>
      <sz val="16"/>
      <name val="Calibri"/>
      <family val="2"/>
    </font>
    <font>
      <sz val="10"/>
      <name val="Calibri"/>
      <family val="2"/>
    </font>
    <font>
      <b/>
      <sz val="10"/>
      <name val="Calibri"/>
      <family val="2"/>
    </font>
    <font>
      <sz val="12"/>
      <name val="Calibri"/>
      <family val="2"/>
    </font>
    <font>
      <b/>
      <sz val="12"/>
      <name val="Calibri"/>
      <family val="2"/>
    </font>
    <font>
      <b/>
      <vertAlign val="superscript"/>
      <sz val="12"/>
      <name val="Calibri"/>
      <family val="2"/>
    </font>
    <font>
      <b/>
      <sz val="14"/>
      <name val="Calibri"/>
      <family val="2"/>
    </font>
    <font>
      <b/>
      <sz val="18"/>
      <name val="Calibri"/>
      <family val="2"/>
    </font>
    <font>
      <sz val="10"/>
      <color theme="0"/>
      <name val="Arial"/>
      <family val="2"/>
    </font>
    <font>
      <u/>
      <sz val="10"/>
      <color theme="10"/>
      <name val="Arial"/>
      <family val="2"/>
    </font>
    <font>
      <sz val="12"/>
      <color theme="1"/>
      <name val="Calibri"/>
      <family val="2"/>
      <scheme val="minor"/>
    </font>
    <font>
      <sz val="10"/>
      <color theme="1"/>
      <name val="Calibri"/>
      <family val="2"/>
      <scheme val="minor"/>
    </font>
    <font>
      <b/>
      <sz val="10"/>
      <color theme="1"/>
      <name val="Calibri"/>
      <family val="2"/>
      <scheme val="minor"/>
    </font>
    <font>
      <b/>
      <u/>
      <sz val="10"/>
      <name val="Calibri"/>
      <family val="2"/>
    </font>
    <font>
      <sz val="10"/>
      <name val="Calibri"/>
      <family val="2"/>
      <scheme val="minor"/>
    </font>
    <font>
      <sz val="10"/>
      <name val="Arial"/>
      <family val="2"/>
    </font>
    <font>
      <b/>
      <sz val="11"/>
      <color rgb="FF3F3F3F"/>
      <name val="Calibri"/>
      <family val="2"/>
      <scheme val="minor"/>
    </font>
    <font>
      <b/>
      <sz val="10"/>
      <name val="Calibri"/>
      <family val="2"/>
      <scheme val="minor"/>
    </font>
    <font>
      <b/>
      <sz val="10"/>
      <color rgb="FF3F3F3F"/>
      <name val="Calibri"/>
      <family val="2"/>
      <scheme val="minor"/>
    </font>
    <font>
      <sz val="10"/>
      <color rgb="FFFF0000"/>
      <name val="Calibri"/>
      <family val="2"/>
    </font>
    <font>
      <sz val="10"/>
      <color rgb="FFFF0000"/>
      <name val="Arial"/>
      <family val="2"/>
    </font>
    <font>
      <sz val="10"/>
      <color theme="0"/>
      <name val="Calibri"/>
      <family val="2"/>
    </font>
    <font>
      <b/>
      <i/>
      <sz val="10"/>
      <name val="Calibri"/>
      <family val="2"/>
    </font>
    <font>
      <b/>
      <sz val="10"/>
      <color theme="0"/>
      <name val="Calibri"/>
      <family val="2"/>
    </font>
    <font>
      <b/>
      <sz val="11"/>
      <name val="Calibri"/>
      <family val="2"/>
      <scheme val="minor"/>
    </font>
    <font>
      <sz val="11"/>
      <name val="Calibri"/>
      <family val="2"/>
      <scheme val="minor"/>
    </font>
    <font>
      <sz val="11"/>
      <name val="Arial"/>
      <family val="2"/>
    </font>
    <font>
      <sz val="12"/>
      <name val="Calibri"/>
      <family val="2"/>
      <scheme val="minor"/>
    </font>
    <font>
      <b/>
      <sz val="18"/>
      <color theme="0"/>
      <name val="Calibri"/>
      <family val="2"/>
      <scheme val="minor"/>
    </font>
    <font>
      <b/>
      <sz val="18"/>
      <name val="Calibri"/>
      <family val="2"/>
      <scheme val="minor"/>
    </font>
    <font>
      <sz val="18"/>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8"/>
      <name val="Tahoma"/>
      <family val="2"/>
    </font>
    <font>
      <sz val="8"/>
      <name val="Verdana"/>
      <family val="2"/>
    </font>
    <font>
      <b/>
      <sz val="8"/>
      <color indexed="9"/>
      <name val="Tahoma"/>
      <family val="2"/>
    </font>
    <font>
      <b/>
      <sz val="8"/>
      <color indexed="8"/>
      <name val="Tahoma"/>
      <family val="2"/>
    </font>
    <font>
      <b/>
      <u/>
      <sz val="8"/>
      <color indexed="8"/>
      <name val="Tahoma"/>
      <family val="2"/>
    </font>
    <font>
      <b/>
      <sz val="8"/>
      <color indexed="23"/>
      <name val="Verdana"/>
      <family val="2"/>
    </font>
    <font>
      <sz val="16"/>
      <color indexed="9"/>
      <name val="Tahoma"/>
      <family val="2"/>
    </font>
    <font>
      <b/>
      <sz val="8"/>
      <color indexed="63"/>
      <name val="Verdana"/>
      <family val="2"/>
    </font>
    <font>
      <b/>
      <sz val="16"/>
      <color indexed="9"/>
      <name val="Tahoma"/>
      <family val="2"/>
    </font>
    <font>
      <sz val="8"/>
      <color indexed="81"/>
      <name val="Tahoma"/>
      <family val="2"/>
    </font>
    <font>
      <b/>
      <sz val="8"/>
      <color indexed="81"/>
      <name val="Tahoma"/>
      <family val="2"/>
    </font>
  </fonts>
  <fills count="3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F2F2F2"/>
      </patternFill>
    </fill>
    <fill>
      <patternFill patternType="solid">
        <fgColor theme="1" tint="0.34998626667073579"/>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8"/>
        <bgColor indexed="64"/>
      </patternFill>
    </fill>
    <fill>
      <patternFill patternType="solid">
        <fgColor indexed="9"/>
        <bgColor indexed="9"/>
      </patternFill>
    </fill>
    <fill>
      <patternFill patternType="solid">
        <fgColor indexed="43"/>
      </patternFill>
    </fill>
    <fill>
      <patternFill patternType="solid">
        <fgColor indexed="22"/>
        <bgColor indexed="64"/>
      </patternFill>
    </fill>
    <fill>
      <patternFill patternType="solid">
        <fgColor indexed="26"/>
      </patternFill>
    </fill>
    <fill>
      <patternFill patternType="solid">
        <fgColor indexed="2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style="hair">
        <color theme="0" tint="-0.34998626667073579"/>
      </right>
      <top/>
      <bottom style="thin">
        <color indexed="64"/>
      </bottom>
      <diagonal/>
    </border>
    <border>
      <left style="hair">
        <color theme="0" tint="-0.34998626667073579"/>
      </left>
      <right style="hair">
        <color theme="0" tint="-0.34998626667073579"/>
      </right>
      <top/>
      <bottom style="thin">
        <color indexed="64"/>
      </bottom>
      <diagonal/>
    </border>
    <border>
      <left style="hair">
        <color theme="0" tint="-0.34998626667073579"/>
      </left>
      <right/>
      <top/>
      <bottom style="thin">
        <color indexed="64"/>
      </bottom>
      <diagonal/>
    </border>
    <border>
      <left/>
      <right style="hair">
        <color theme="0" tint="-0.34998626667073579"/>
      </right>
      <top/>
      <bottom style="hair">
        <color theme="0" tint="-0.34998626667073579"/>
      </bottom>
      <diagonal/>
    </border>
    <border>
      <left/>
      <right/>
      <top/>
      <bottom style="hair">
        <color theme="0" tint="-0.34998626667073579"/>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rgb="FF3F3F3F"/>
      </left>
      <right style="thin">
        <color rgb="FF3F3F3F"/>
      </right>
      <top style="thin">
        <color rgb="FF3F3F3F"/>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0">
    <xf numFmtId="0" fontId="0" fillId="0" borderId="0"/>
    <xf numFmtId="165" fontId="3" fillId="0" borderId="0" applyFont="0" applyFill="0" applyBorder="0" applyAlignment="0" applyProtection="0"/>
    <xf numFmtId="0" fontId="14" fillId="0" borderId="0" applyNumberFormat="0" applyFill="0" applyBorder="0" applyAlignment="0" applyProtection="0"/>
    <xf numFmtId="9" fontId="20" fillId="0" borderId="0" applyFont="0" applyFill="0" applyBorder="0" applyAlignment="0" applyProtection="0"/>
    <xf numFmtId="0" fontId="21" fillId="4" borderId="18" applyNumberFormat="0" applyAlignment="0" applyProtection="0"/>
    <xf numFmtId="43" fontId="20" fillId="0" borderId="0" applyFont="0" applyFill="0" applyBorder="0" applyAlignment="0" applyProtection="0"/>
    <xf numFmtId="0" fontId="3" fillId="0" borderId="0"/>
    <xf numFmtId="0" fontId="3" fillId="0" borderId="0"/>
    <xf numFmtId="0" fontId="3" fillId="0" borderId="0"/>
    <xf numFmtId="0" fontId="2" fillId="0" borderId="0"/>
    <xf numFmtId="166" fontId="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5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14" borderId="0" applyNumberFormat="0" applyBorder="0" applyAlignment="0" applyProtection="0"/>
    <xf numFmtId="0" fontId="52" fillId="17" borderId="0" applyNumberFormat="0" applyBorder="0" applyAlignment="0" applyProtection="0"/>
    <xf numFmtId="0" fontId="52" fillId="20" borderId="0" applyNumberFormat="0" applyBorder="0" applyAlignment="0" applyProtection="0"/>
    <xf numFmtId="0" fontId="51" fillId="21"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8" borderId="0" applyNumberFormat="0" applyBorder="0" applyAlignment="0" applyProtection="0"/>
    <xf numFmtId="37" fontId="53" fillId="29" borderId="2" applyBorder="0" applyProtection="0">
      <alignment vertical="center"/>
    </xf>
    <xf numFmtId="0" fontId="41" fillId="12" borderId="0" applyNumberFormat="0" applyBorder="0" applyAlignment="0" applyProtection="0"/>
    <xf numFmtId="0" fontId="54" fillId="30" borderId="0" applyBorder="0">
      <alignment horizontal="left" vertical="center" indent="1"/>
    </xf>
    <xf numFmtId="0" fontId="45" fillId="31" borderId="32" applyNumberFormat="0" applyAlignment="0" applyProtection="0"/>
    <xf numFmtId="0" fontId="47" fillId="32" borderId="33" applyNumberFormat="0" applyAlignment="0" applyProtection="0"/>
    <xf numFmtId="166" fontId="2"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49" fillId="0" borderId="0" applyNumberFormat="0" applyFill="0" applyBorder="0" applyAlignment="0" applyProtection="0"/>
    <xf numFmtId="0" fontId="40" fillId="13" borderId="0" applyNumberFormat="0" applyBorder="0" applyAlignment="0" applyProtection="0"/>
    <xf numFmtId="37" fontId="55" fillId="33" borderId="15" applyBorder="0">
      <alignment horizontal="left" vertical="center" indent="1"/>
    </xf>
    <xf numFmtId="37" fontId="56" fillId="0" borderId="34">
      <alignment vertical="center"/>
    </xf>
    <xf numFmtId="0" fontId="56" fillId="34" borderId="35" applyNumberFormat="0">
      <alignment horizontal="left" vertical="top" indent="1"/>
    </xf>
    <xf numFmtId="0" fontId="56" fillId="29" borderId="0" applyBorder="0">
      <alignment horizontal="left" vertical="center" indent="1"/>
    </xf>
    <xf numFmtId="0" fontId="56" fillId="0" borderId="35" applyNumberFormat="0" applyFill="0">
      <alignment horizontal="centerContinuous" vertical="top"/>
    </xf>
    <xf numFmtId="0" fontId="57" fillId="29" borderId="36" applyNumberFormat="0" applyBorder="0">
      <alignment horizontal="left" vertical="center" indent="1"/>
    </xf>
    <xf numFmtId="0" fontId="37" fillId="0" borderId="37" applyNumberFormat="0" applyFill="0" applyAlignment="0" applyProtection="0"/>
    <xf numFmtId="0" fontId="38" fillId="0" borderId="38" applyNumberFormat="0" applyFill="0" applyAlignment="0" applyProtection="0"/>
    <xf numFmtId="0" fontId="39" fillId="0" borderId="39" applyNumberFormat="0" applyFill="0" applyAlignment="0" applyProtection="0"/>
    <xf numFmtId="0" fontId="39" fillId="0" borderId="0" applyNumberFormat="0" applyFill="0" applyBorder="0" applyAlignment="0" applyProtection="0"/>
    <xf numFmtId="0" fontId="43" fillId="16" borderId="32" applyNumberFormat="0" applyAlignment="0" applyProtection="0"/>
    <xf numFmtId="0" fontId="46" fillId="0" borderId="40" applyNumberFormat="0" applyFill="0" applyAlignment="0" applyProtection="0"/>
    <xf numFmtId="0" fontId="42" fillId="35" borderId="0" applyNumberFormat="0" applyBorder="0" applyAlignment="0" applyProtection="0"/>
    <xf numFmtId="0" fontId="58" fillId="36" borderId="0">
      <alignment horizontal="left" indent="1"/>
    </xf>
    <xf numFmtId="0" fontId="6" fillId="0" borderId="0"/>
    <xf numFmtId="4" fontId="53" fillId="29" borderId="3" applyBorder="0">
      <alignment horizontal="left" vertical="center" indent="2"/>
    </xf>
    <xf numFmtId="0" fontId="3" fillId="0" borderId="0"/>
    <xf numFmtId="0" fontId="3" fillId="0" borderId="0"/>
    <xf numFmtId="0" fontId="2" fillId="0" borderId="0"/>
    <xf numFmtId="0" fontId="3" fillId="37" borderId="41" applyNumberFormat="0" applyFont="0" applyAlignment="0" applyProtection="0"/>
    <xf numFmtId="0" fontId="6" fillId="37" borderId="41" applyNumberFormat="0" applyFont="0" applyAlignment="0" applyProtection="0"/>
    <xf numFmtId="0" fontId="44" fillId="31" borderId="42"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59" fillId="30" borderId="0">
      <alignment horizontal="left" indent="1"/>
    </xf>
    <xf numFmtId="0" fontId="60" fillId="30" borderId="0" applyBorder="0">
      <alignment horizontal="left" vertical="center" indent="1"/>
    </xf>
    <xf numFmtId="0" fontId="36" fillId="0" borderId="0" applyNumberFormat="0" applyFill="0" applyBorder="0" applyAlignment="0" applyProtection="0"/>
    <xf numFmtId="0" fontId="61" fillId="38" borderId="0" applyBorder="0">
      <alignment horizontal="left" vertical="center" indent="1"/>
    </xf>
    <xf numFmtId="0" fontId="50" fillId="0" borderId="43" applyNumberFormat="0" applyFill="0" applyAlignment="0" applyProtection="0"/>
    <xf numFmtId="0" fontId="48" fillId="0" borderId="0" applyNumberFormat="0" applyFill="0" applyBorder="0" applyAlignment="0" applyProtection="0"/>
    <xf numFmtId="0" fontId="3" fillId="0" borderId="0"/>
    <xf numFmtId="0" fontId="21" fillId="4" borderId="18"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166" fontId="1" fillId="0" borderId="0" applyFont="0" applyFill="0" applyBorder="0" applyAlignment="0" applyProtection="0"/>
    <xf numFmtId="37" fontId="53" fillId="29" borderId="44" applyBorder="0" applyProtection="0">
      <alignment vertical="center"/>
    </xf>
    <xf numFmtId="166" fontId="1" fillId="0" borderId="0" applyFont="0" applyFill="0" applyBorder="0" applyAlignment="0" applyProtection="0"/>
    <xf numFmtId="165" fontId="1" fillId="0" borderId="0" applyFont="0" applyFill="0" applyBorder="0" applyAlignment="0" applyProtection="0"/>
    <xf numFmtId="4" fontId="53" fillId="29" borderId="45" applyBorder="0">
      <alignment horizontal="left" vertical="center" indent="2"/>
    </xf>
    <xf numFmtId="0" fontId="1" fillId="0" borderId="0"/>
    <xf numFmtId="0" fontId="1" fillId="0" borderId="0"/>
    <xf numFmtId="166" fontId="1" fillId="0" borderId="0" applyFont="0" applyFill="0" applyBorder="0" applyAlignment="0" applyProtection="0"/>
    <xf numFmtId="0" fontId="6" fillId="37" borderId="41" applyNumberFormat="0" applyFont="0" applyAlignment="0" applyProtection="0"/>
    <xf numFmtId="0" fontId="3" fillId="37" borderId="41" applyNumberFormat="0" applyFont="0" applyAlignment="0" applyProtection="0"/>
    <xf numFmtId="0" fontId="43" fillId="16" borderId="32" applyNumberFormat="0" applyAlignment="0" applyProtection="0"/>
    <xf numFmtId="37" fontId="53" fillId="29" borderId="44" applyBorder="0" applyProtection="0">
      <alignment vertical="center"/>
    </xf>
    <xf numFmtId="0" fontId="45" fillId="31" borderId="32" applyNumberFormat="0" applyAlignment="0" applyProtection="0"/>
    <xf numFmtId="0" fontId="43" fillId="16" borderId="32" applyNumberFormat="0" applyAlignment="0" applyProtection="0"/>
    <xf numFmtId="4" fontId="53" fillId="29" borderId="45" applyBorder="0">
      <alignment horizontal="left" vertical="center" indent="2"/>
    </xf>
    <xf numFmtId="0" fontId="3" fillId="37" borderId="41" applyNumberFormat="0" applyFont="0" applyAlignment="0" applyProtection="0"/>
    <xf numFmtId="0" fontId="6" fillId="37" borderId="41" applyNumberFormat="0" applyFont="0" applyAlignment="0" applyProtection="0"/>
    <xf numFmtId="0" fontId="44" fillId="31" borderId="42" applyNumberFormat="0" applyAlignment="0" applyProtection="0"/>
    <xf numFmtId="0" fontId="50" fillId="0" borderId="43" applyNumberFormat="0" applyFill="0" applyAlignment="0" applyProtection="0"/>
    <xf numFmtId="0" fontId="44" fillId="31" borderId="42" applyNumberFormat="0" applyAlignment="0" applyProtection="0"/>
    <xf numFmtId="0" fontId="45" fillId="31" borderId="32" applyNumberForma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50" fillId="0" borderId="43" applyNumberFormat="0" applyFill="0" applyAlignment="0" applyProtection="0"/>
  </cellStyleXfs>
  <cellXfs count="331">
    <xf numFmtId="0" fontId="0" fillId="0" borderId="0" xfId="0"/>
    <xf numFmtId="0" fontId="6" fillId="0" borderId="0" xfId="0" applyFont="1"/>
    <xf numFmtId="0" fontId="6" fillId="0" borderId="0" xfId="0" applyFont="1" applyBorder="1"/>
    <xf numFmtId="0" fontId="5" fillId="0" borderId="0" xfId="0" applyFont="1" applyBorder="1" applyAlignment="1"/>
    <xf numFmtId="0" fontId="5" fillId="0" borderId="0" xfId="0" applyFont="1" applyAlignment="1"/>
    <xf numFmtId="0" fontId="6" fillId="0" borderId="0" xfId="0" applyFont="1" applyBorder="1" applyAlignment="1"/>
    <xf numFmtId="0" fontId="6" fillId="0" borderId="0" xfId="0" applyFont="1" applyAlignment="1"/>
    <xf numFmtId="0" fontId="8" fillId="0" borderId="0" xfId="0" applyFont="1"/>
    <xf numFmtId="0" fontId="8" fillId="0" borderId="0" xfId="0" applyFont="1" applyBorder="1"/>
    <xf numFmtId="0" fontId="8" fillId="0" borderId="6" xfId="0" applyFont="1" applyBorder="1"/>
    <xf numFmtId="164" fontId="8" fillId="0" borderId="0" xfId="1" applyNumberFormat="1" applyFont="1" applyBorder="1" applyAlignment="1">
      <alignment horizontal="center"/>
    </xf>
    <xf numFmtId="164" fontId="8" fillId="0" borderId="6" xfId="0" applyNumberFormat="1" applyFont="1" applyBorder="1"/>
    <xf numFmtId="164" fontId="8" fillId="0" borderId="6" xfId="1" applyNumberFormat="1" applyFont="1" applyBorder="1" applyAlignment="1">
      <alignment horizontal="center"/>
    </xf>
    <xf numFmtId="0" fontId="8" fillId="0" borderId="6" xfId="0" applyFont="1" applyBorder="1" applyAlignment="1">
      <alignment horizontal="center"/>
    </xf>
    <xf numFmtId="164" fontId="8" fillId="0" borderId="13" xfId="1" applyNumberFormat="1" applyFont="1" applyBorder="1" applyAlignment="1">
      <alignment horizontal="center"/>
    </xf>
    <xf numFmtId="0" fontId="7" fillId="0" borderId="0" xfId="0" applyFont="1"/>
    <xf numFmtId="0" fontId="9" fillId="0" borderId="0" xfId="0" applyFont="1" applyFill="1" applyBorder="1" applyAlignment="1"/>
    <xf numFmtId="0" fontId="7" fillId="0" borderId="0" xfId="0" applyFont="1" applyBorder="1"/>
    <xf numFmtId="164" fontId="8" fillId="0" borderId="6" xfId="1" applyNumberFormat="1" applyFont="1" applyFill="1" applyBorder="1" applyAlignment="1">
      <alignment horizont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164" fontId="8" fillId="0" borderId="15" xfId="0" applyNumberFormat="1" applyFont="1" applyBorder="1"/>
    <xf numFmtId="164" fontId="8" fillId="0" borderId="0" xfId="0" applyNumberFormat="1" applyFont="1" applyBorder="1"/>
    <xf numFmtId="39" fontId="8" fillId="0" borderId="6" xfId="1" applyNumberFormat="1" applyFont="1" applyBorder="1" applyAlignment="1">
      <alignment horizontal="center"/>
    </xf>
    <xf numFmtId="164" fontId="8" fillId="0" borderId="15" xfId="1" applyNumberFormat="1" applyFont="1" applyBorder="1" applyAlignment="1">
      <alignment horizontal="center"/>
    </xf>
    <xf numFmtId="164" fontId="9" fillId="0" borderId="0" xfId="1" applyNumberFormat="1" applyFont="1" applyBorder="1" applyAlignment="1">
      <alignment horizontal="center"/>
    </xf>
    <xf numFmtId="0" fontId="7" fillId="0" borderId="0" xfId="0" applyFont="1" applyFill="1" applyBorder="1" applyAlignment="1">
      <alignment horizontal="center" vertical="center"/>
    </xf>
    <xf numFmtId="164" fontId="6" fillId="0" borderId="0" xfId="0" applyNumberFormat="1" applyFont="1" applyFill="1" applyBorder="1"/>
    <xf numFmtId="164" fontId="7" fillId="0" borderId="0" xfId="1" applyNumberFormat="1" applyFont="1" applyFill="1" applyBorder="1" applyAlignment="1">
      <alignment horizontal="center"/>
    </xf>
    <xf numFmtId="2" fontId="8" fillId="0" borderId="6" xfId="1" applyNumberFormat="1" applyFont="1" applyBorder="1" applyAlignment="1">
      <alignment horizontal="center"/>
    </xf>
    <xf numFmtId="164" fontId="8" fillId="0" borderId="6" xfId="0" applyNumberFormat="1" applyFont="1" applyBorder="1" applyAlignment="1">
      <alignment horizontal="center"/>
    </xf>
    <xf numFmtId="164" fontId="8" fillId="0" borderId="13" xfId="0" applyNumberFormat="1" applyFont="1" applyBorder="1" applyAlignment="1">
      <alignment horizontal="center"/>
    </xf>
    <xf numFmtId="0" fontId="7" fillId="0" borderId="0" xfId="0" applyFont="1" applyBorder="1" applyAlignment="1">
      <alignment horizontal="center"/>
    </xf>
    <xf numFmtId="164" fontId="8" fillId="0" borderId="1" xfId="0" applyNumberFormat="1" applyFont="1" applyBorder="1"/>
    <xf numFmtId="164" fontId="8" fillId="0" borderId="4" xfId="1" applyNumberFormat="1" applyFont="1" applyFill="1" applyBorder="1" applyAlignment="1">
      <alignment horizontal="center"/>
    </xf>
    <xf numFmtId="39" fontId="8" fillId="0" borderId="6" xfId="0" applyNumberFormat="1" applyFont="1" applyBorder="1" applyAlignment="1">
      <alignment horizontal="center"/>
    </xf>
    <xf numFmtId="169" fontId="8" fillId="0" borderId="13" xfId="0" applyNumberFormat="1" applyFont="1" applyBorder="1" applyAlignment="1">
      <alignment horizontal="center"/>
    </xf>
    <xf numFmtId="0" fontId="8" fillId="0" borderId="6" xfId="0" applyFont="1" applyBorder="1" applyAlignment="1">
      <alignment horizontal="left"/>
    </xf>
    <xf numFmtId="37" fontId="8" fillId="0" borderId="6" xfId="0" applyNumberFormat="1" applyFont="1" applyBorder="1" applyAlignment="1">
      <alignment horizontal="center"/>
    </xf>
    <xf numFmtId="0" fontId="6" fillId="0" borderId="0" xfId="0" applyFont="1" applyFill="1"/>
    <xf numFmtId="0" fontId="9" fillId="2" borderId="1" xfId="0" applyFont="1" applyFill="1" applyBorder="1" applyAlignment="1">
      <alignment horizontal="center" vertical="center"/>
    </xf>
    <xf numFmtId="164" fontId="9" fillId="2" borderId="1" xfId="1" applyNumberFormat="1" applyFont="1" applyFill="1" applyBorder="1" applyAlignment="1">
      <alignment horizontal="center"/>
    </xf>
    <xf numFmtId="0" fontId="9" fillId="2" borderId="2" xfId="0" applyFont="1" applyFill="1" applyBorder="1" applyAlignment="1">
      <alignment horizontal="center" vertical="center"/>
    </xf>
    <xf numFmtId="168" fontId="9" fillId="2" borderId="12" xfId="1" applyNumberFormat="1" applyFont="1" applyFill="1" applyBorder="1" applyAlignment="1">
      <alignment horizontal="center"/>
    </xf>
    <xf numFmtId="164" fontId="9" fillId="2" borderId="12" xfId="1" applyNumberFormat="1" applyFont="1" applyFill="1" applyBorder="1" applyAlignment="1">
      <alignment horizontal="center"/>
    </xf>
    <xf numFmtId="0" fontId="8" fillId="0" borderId="15" xfId="0" applyFont="1" applyBorder="1" applyAlignment="1">
      <alignment horizontal="left" indent="1"/>
    </xf>
    <xf numFmtId="0" fontId="8" fillId="0" borderId="6" xfId="0" applyFont="1" applyFill="1" applyBorder="1" applyAlignment="1">
      <alignment horizontal="left" indent="1"/>
    </xf>
    <xf numFmtId="0" fontId="8" fillId="0" borderId="15" xfId="0" applyFont="1" applyFill="1" applyBorder="1" applyAlignment="1">
      <alignment horizontal="left" indent="1"/>
    </xf>
    <xf numFmtId="0" fontId="8" fillId="0" borderId="6" xfId="0" applyFont="1" applyBorder="1" applyAlignment="1">
      <alignment horizontal="left" indent="1"/>
    </xf>
    <xf numFmtId="0" fontId="6" fillId="0" borderId="0" xfId="0" applyFont="1" applyAlignment="1">
      <alignment horizontal="left" vertical="center" indent="1"/>
    </xf>
    <xf numFmtId="0" fontId="3" fillId="0" borderId="0" xfId="0" applyFont="1" applyAlignment="1">
      <alignment horizontal="left" vertical="center" indent="1"/>
    </xf>
    <xf numFmtId="0" fontId="9" fillId="2" borderId="1" xfId="0" applyFont="1" applyFill="1" applyBorder="1" applyAlignment="1">
      <alignment horizontal="center" vertical="center" wrapText="1"/>
    </xf>
    <xf numFmtId="164" fontId="8" fillId="3" borderId="2" xfId="1" applyNumberFormat="1" applyFont="1" applyFill="1" applyBorder="1" applyAlignment="1">
      <alignment horizontal="right"/>
    </xf>
    <xf numFmtId="164" fontId="8" fillId="3" borderId="4" xfId="1" applyNumberFormat="1" applyFont="1" applyFill="1" applyBorder="1" applyAlignment="1">
      <alignment horizontal="center"/>
    </xf>
    <xf numFmtId="0" fontId="11" fillId="0" borderId="0" xfId="0" applyFont="1" applyBorder="1" applyAlignment="1"/>
    <xf numFmtId="0" fontId="12" fillId="0" borderId="0" xfId="0" applyFont="1" applyBorder="1" applyAlignment="1"/>
    <xf numFmtId="0" fontId="6" fillId="0" borderId="0" xfId="0" applyFont="1" applyAlignment="1">
      <alignment horizontal="left" indent="1"/>
    </xf>
    <xf numFmtId="0" fontId="13" fillId="0" borderId="0" xfId="0" applyFont="1" applyAlignment="1">
      <alignment horizontal="left"/>
    </xf>
    <xf numFmtId="170" fontId="13" fillId="0" borderId="0" xfId="0" applyNumberFormat="1" applyFont="1"/>
    <xf numFmtId="0" fontId="15" fillId="0" borderId="1" xfId="2" applyFont="1" applyBorder="1"/>
    <xf numFmtId="0" fontId="16" fillId="0" borderId="0" xfId="2" applyFont="1" applyBorder="1" applyAlignment="1">
      <alignment horizontal="center" vertical="center"/>
    </xf>
    <xf numFmtId="0" fontId="17" fillId="0" borderId="0" xfId="2" applyFont="1" applyBorder="1" applyAlignment="1">
      <alignment horizontal="center" vertical="center"/>
    </xf>
    <xf numFmtId="0" fontId="7" fillId="0" borderId="0" xfId="0" applyFont="1" applyAlignment="1">
      <alignment horizontal="left"/>
    </xf>
    <xf numFmtId="0" fontId="19" fillId="0" borderId="0" xfId="0" applyFont="1" applyAlignment="1">
      <alignment horizontal="left" vertical="center" indent="1"/>
    </xf>
    <xf numFmtId="0" fontId="3" fillId="0" borderId="0" xfId="0" applyFont="1" applyAlignment="1">
      <alignment vertical="center" wrapText="1"/>
    </xf>
    <xf numFmtId="0" fontId="19" fillId="7" borderId="16" xfId="0" applyFont="1" applyFill="1" applyBorder="1"/>
    <xf numFmtId="0" fontId="19" fillId="0" borderId="23" xfId="0" applyFont="1" applyBorder="1" applyAlignment="1">
      <alignment horizontal="left" vertical="top" wrapText="1"/>
    </xf>
    <xf numFmtId="0" fontId="19" fillId="0" borderId="0" xfId="0" applyFont="1" applyBorder="1" applyAlignment="1">
      <alignment horizontal="left" vertical="top" wrapText="1"/>
    </xf>
    <xf numFmtId="0" fontId="21" fillId="4" borderId="18" xfId="4" applyAlignment="1">
      <alignment horizontal="left" vertical="top" wrapText="1"/>
    </xf>
    <xf numFmtId="0" fontId="23" fillId="4" borderId="18" xfId="4" applyFont="1" applyAlignment="1">
      <alignment horizontal="left" vertical="top" wrapText="1"/>
    </xf>
    <xf numFmtId="0" fontId="17" fillId="0" borderId="0" xfId="2" applyFont="1" applyBorder="1" applyAlignment="1"/>
    <xf numFmtId="0" fontId="7" fillId="0" borderId="0" xfId="0" applyFont="1" applyFill="1" applyBorder="1" applyAlignment="1"/>
    <xf numFmtId="0" fontId="7" fillId="2" borderId="1" xfId="0" applyFont="1" applyFill="1" applyBorder="1" applyAlignment="1">
      <alignment horizontal="center" vertical="center"/>
    </xf>
    <xf numFmtId="0" fontId="6" fillId="2" borderId="1" xfId="0" applyFont="1" applyFill="1" applyBorder="1" applyAlignment="1">
      <alignment horizontal="center"/>
    </xf>
    <xf numFmtId="0" fontId="7" fillId="2" borderId="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6" xfId="0" applyFont="1" applyBorder="1"/>
    <xf numFmtId="1" fontId="6" fillId="0" borderId="6" xfId="0" applyNumberFormat="1" applyFont="1" applyBorder="1"/>
    <xf numFmtId="0" fontId="7" fillId="3" borderId="1" xfId="0" applyFont="1" applyFill="1" applyBorder="1" applyAlignment="1">
      <alignment horizontal="center" vertical="center"/>
    </xf>
    <xf numFmtId="2" fontId="7" fillId="3" borderId="1" xfId="0" applyNumberFormat="1" applyFont="1" applyFill="1" applyBorder="1" applyAlignment="1">
      <alignment horizontal="center"/>
    </xf>
    <xf numFmtId="0" fontId="6" fillId="0" borderId="6" xfId="0" applyFont="1" applyBorder="1"/>
    <xf numFmtId="0" fontId="6" fillId="0" borderId="6" xfId="0" applyFont="1" applyBorder="1" applyAlignment="1">
      <alignment horizontal="center"/>
    </xf>
    <xf numFmtId="0" fontId="6" fillId="0" borderId="5" xfId="0" applyFont="1" applyBorder="1" applyAlignment="1">
      <alignment horizontal="left" indent="1"/>
    </xf>
    <xf numFmtId="0" fontId="6" fillId="0" borderId="6" xfId="0" applyFont="1" applyBorder="1" applyAlignment="1">
      <alignment horizontal="left" indent="2"/>
    </xf>
    <xf numFmtId="1" fontId="6" fillId="0" borderId="6" xfId="1" applyNumberFormat="1" applyFont="1" applyBorder="1" applyAlignment="1">
      <alignment horizontal="center"/>
    </xf>
    <xf numFmtId="164" fontId="6" fillId="0" borderId="6" xfId="1" applyNumberFormat="1" applyFont="1" applyBorder="1" applyAlignment="1">
      <alignment horizontal="center"/>
    </xf>
    <xf numFmtId="2" fontId="6" fillId="0" borderId="6" xfId="1" applyNumberFormat="1" applyFont="1" applyBorder="1" applyAlignment="1">
      <alignment horizontal="center"/>
    </xf>
    <xf numFmtId="164" fontId="6" fillId="0" borderId="0" xfId="1" applyNumberFormat="1" applyFont="1" applyBorder="1" applyAlignment="1">
      <alignment horizontal="center"/>
    </xf>
    <xf numFmtId="0" fontId="6" fillId="0" borderId="6" xfId="0" applyFont="1" applyFill="1" applyBorder="1" applyAlignment="1">
      <alignment horizontal="left" wrapText="1" indent="2"/>
    </xf>
    <xf numFmtId="0" fontId="6" fillId="0" borderId="6" xfId="0" applyFont="1" applyFill="1" applyBorder="1" applyAlignment="1">
      <alignment horizontal="left" indent="2"/>
    </xf>
    <xf numFmtId="0" fontId="6" fillId="0" borderId="5" xfId="0" applyFont="1" applyFill="1" applyBorder="1" applyAlignment="1">
      <alignment horizontal="left" indent="1"/>
    </xf>
    <xf numFmtId="0" fontId="6" fillId="0" borderId="0" xfId="0" applyFont="1" applyFill="1" applyBorder="1"/>
    <xf numFmtId="0" fontId="6" fillId="0" borderId="12" xfId="0" applyFont="1" applyFill="1" applyBorder="1" applyAlignment="1">
      <alignment horizontal="right"/>
    </xf>
    <xf numFmtId="0" fontId="7" fillId="0" borderId="12" xfId="0" applyFont="1" applyFill="1" applyBorder="1" applyAlignment="1">
      <alignment horizontal="center"/>
    </xf>
    <xf numFmtId="164" fontId="7" fillId="0" borderId="12" xfId="1" applyNumberFormat="1" applyFont="1" applyFill="1" applyBorder="1" applyAlignment="1">
      <alignment horizontal="center"/>
    </xf>
    <xf numFmtId="0" fontId="7" fillId="0" borderId="17" xfId="0" applyFont="1" applyFill="1" applyBorder="1"/>
    <xf numFmtId="37" fontId="6" fillId="0" borderId="6" xfId="1" applyNumberFormat="1" applyFont="1" applyFill="1" applyBorder="1" applyAlignment="1">
      <alignment horizontal="center"/>
    </xf>
    <xf numFmtId="164" fontId="7" fillId="3" borderId="1" xfId="1" applyNumberFormat="1" applyFont="1" applyFill="1" applyBorder="1" applyAlignment="1">
      <alignment horizontal="center" vertical="center"/>
    </xf>
    <xf numFmtId="37" fontId="7" fillId="3" borderId="1" xfId="1" applyNumberFormat="1" applyFont="1" applyFill="1" applyBorder="1" applyAlignment="1">
      <alignment horizontal="center" wrapText="1"/>
    </xf>
    <xf numFmtId="164" fontId="6" fillId="0" borderId="6" xfId="1" applyNumberFormat="1" applyFont="1" applyFill="1" applyBorder="1" applyAlignment="1">
      <alignment horizontal="center"/>
    </xf>
    <xf numFmtId="164" fontId="6" fillId="0" borderId="0" xfId="1" applyNumberFormat="1" applyFont="1" applyFill="1" applyBorder="1" applyAlignment="1">
      <alignment horizontal="center"/>
    </xf>
    <xf numFmtId="0" fontId="6" fillId="0" borderId="15" xfId="0" applyFont="1" applyFill="1" applyBorder="1"/>
    <xf numFmtId="0" fontId="6" fillId="0" borderId="15" xfId="0" applyFont="1" applyFill="1" applyBorder="1" applyAlignment="1">
      <alignment horizontal="left" indent="1"/>
    </xf>
    <xf numFmtId="0" fontId="6" fillId="0" borderId="17" xfId="0" applyFont="1" applyFill="1" applyBorder="1"/>
    <xf numFmtId="0" fontId="6" fillId="0" borderId="11" xfId="0" applyFont="1" applyFill="1" applyBorder="1" applyAlignment="1">
      <alignment horizontal="right"/>
    </xf>
    <xf numFmtId="0" fontId="6" fillId="0" borderId="16" xfId="0" applyFont="1" applyFill="1" applyBorder="1" applyAlignment="1">
      <alignment horizontal="right"/>
    </xf>
    <xf numFmtId="0" fontId="18" fillId="0" borderId="0" xfId="0" applyFont="1" applyFill="1" applyBorder="1"/>
    <xf numFmtId="0" fontId="6" fillId="0" borderId="6" xfId="0" applyFont="1" applyFill="1" applyBorder="1"/>
    <xf numFmtId="164" fontId="6" fillId="0" borderId="0" xfId="0" applyNumberFormat="1" applyFont="1" applyBorder="1"/>
    <xf numFmtId="0" fontId="6" fillId="0" borderId="0" xfId="0" applyFont="1" applyBorder="1" applyAlignment="1">
      <alignment horizontal="left"/>
    </xf>
    <xf numFmtId="0" fontId="7" fillId="0" borderId="15" xfId="0" applyFont="1" applyBorder="1"/>
    <xf numFmtId="167" fontId="6" fillId="0" borderId="6" xfId="0" applyNumberFormat="1" applyFont="1" applyBorder="1"/>
    <xf numFmtId="164" fontId="6" fillId="0" borderId="6" xfId="0" applyNumberFormat="1" applyFont="1" applyBorder="1"/>
    <xf numFmtId="164" fontId="6" fillId="0" borderId="6" xfId="0" applyNumberFormat="1" applyFont="1" applyBorder="1" applyAlignment="1">
      <alignment horizontal="center"/>
    </xf>
    <xf numFmtId="164" fontId="7" fillId="0" borderId="0" xfId="1" applyNumberFormat="1" applyFont="1" applyBorder="1" applyAlignment="1">
      <alignment horizontal="center"/>
    </xf>
    <xf numFmtId="0" fontId="6" fillId="0" borderId="11" xfId="0" applyFont="1" applyBorder="1" applyAlignment="1">
      <alignment horizontal="right"/>
    </xf>
    <xf numFmtId="0" fontId="6" fillId="0" borderId="12" xfId="0" applyFont="1" applyBorder="1" applyAlignment="1">
      <alignment horizontal="right"/>
    </xf>
    <xf numFmtId="164" fontId="7" fillId="0" borderId="12" xfId="1" applyNumberFormat="1" applyFont="1" applyBorder="1" applyAlignment="1">
      <alignment horizontal="center"/>
    </xf>
    <xf numFmtId="164" fontId="7" fillId="3" borderId="4" xfId="1" applyNumberFormat="1" applyFont="1" applyFill="1" applyBorder="1" applyAlignment="1">
      <alignment horizontal="center" vertical="center"/>
    </xf>
    <xf numFmtId="164" fontId="7" fillId="0" borderId="0" xfId="1" applyNumberFormat="1" applyFont="1" applyBorder="1" applyAlignment="1">
      <alignment horizontal="center" vertical="center"/>
    </xf>
    <xf numFmtId="164" fontId="7" fillId="2" borderId="1" xfId="1" applyNumberFormat="1" applyFont="1" applyFill="1" applyBorder="1" applyAlignment="1">
      <alignment horizontal="center" vertical="center"/>
    </xf>
    <xf numFmtId="0" fontId="6" fillId="0" borderId="9" xfId="0" applyFont="1" applyBorder="1"/>
    <xf numFmtId="164" fontId="6" fillId="0" borderId="0" xfId="0" applyNumberFormat="1" applyFont="1"/>
    <xf numFmtId="0" fontId="24" fillId="0" borderId="0" xfId="0" applyFont="1"/>
    <xf numFmtId="0" fontId="25" fillId="0" borderId="0" xfId="0" applyFont="1"/>
    <xf numFmtId="0" fontId="24" fillId="0" borderId="0" xfId="0" applyFont="1" applyBorder="1"/>
    <xf numFmtId="0" fontId="26" fillId="0" borderId="0" xfId="0" applyFont="1"/>
    <xf numFmtId="0" fontId="26" fillId="0" borderId="0" xfId="0" applyFont="1" applyBorder="1"/>
    <xf numFmtId="164" fontId="26" fillId="0" borderId="0" xfId="0" applyNumberFormat="1" applyFont="1"/>
    <xf numFmtId="0" fontId="3" fillId="0" borderId="0" xfId="0" applyFont="1"/>
    <xf numFmtId="10" fontId="6" fillId="0" borderId="0" xfId="3" applyNumberFormat="1" applyFont="1"/>
    <xf numFmtId="164" fontId="7" fillId="3" borderId="2" xfId="1" applyNumberFormat="1" applyFont="1" applyFill="1" applyBorder="1" applyAlignment="1">
      <alignment horizontal="right" vertical="center"/>
    </xf>
    <xf numFmtId="164" fontId="7" fillId="0" borderId="11" xfId="1" applyNumberFormat="1" applyFont="1" applyBorder="1" applyAlignment="1">
      <alignment horizontal="center"/>
    </xf>
    <xf numFmtId="164" fontId="7" fillId="0" borderId="14" xfId="1" applyNumberFormat="1" applyFont="1" applyBorder="1" applyAlignment="1">
      <alignment horizontal="center"/>
    </xf>
    <xf numFmtId="0" fontId="18" fillId="0" borderId="17" xfId="0" applyFont="1" applyBorder="1"/>
    <xf numFmtId="0" fontId="6" fillId="0" borderId="15" xfId="0" applyFont="1" applyBorder="1" applyAlignment="1">
      <alignment horizontal="left" indent="1"/>
    </xf>
    <xf numFmtId="0" fontId="7" fillId="0" borderId="16" xfId="0" applyFont="1" applyFill="1" applyBorder="1" applyAlignment="1">
      <alignment horizontal="right"/>
    </xf>
    <xf numFmtId="0" fontId="18" fillId="0" borderId="17" xfId="0" applyFont="1" applyFill="1" applyBorder="1"/>
    <xf numFmtId="0" fontId="18" fillId="0" borderId="15" xfId="0" applyFont="1" applyFill="1" applyBorder="1"/>
    <xf numFmtId="0" fontId="7" fillId="0" borderId="16" xfId="0" applyFont="1" applyBorder="1" applyAlignment="1">
      <alignment horizontal="right"/>
    </xf>
    <xf numFmtId="0" fontId="7" fillId="0" borderId="0" xfId="0" applyFont="1" applyAlignment="1"/>
    <xf numFmtId="0" fontId="27" fillId="0" borderId="0" xfId="0" applyFont="1" applyFill="1" applyBorder="1" applyAlignment="1">
      <alignment horizontal="center"/>
    </xf>
    <xf numFmtId="0" fontId="6" fillId="0" borderId="1" xfId="0" applyFont="1" applyBorder="1"/>
    <xf numFmtId="0" fontId="7" fillId="0" borderId="5" xfId="0" applyFont="1" applyBorder="1"/>
    <xf numFmtId="0" fontId="7" fillId="0" borderId="10" xfId="0" applyFont="1" applyBorder="1"/>
    <xf numFmtId="0" fontId="7" fillId="0" borderId="12" xfId="0" applyFont="1" applyBorder="1" applyAlignment="1">
      <alignment horizontal="center"/>
    </xf>
    <xf numFmtId="0" fontId="6" fillId="0" borderId="6" xfId="0" applyFont="1" applyFill="1" applyBorder="1" applyAlignment="1">
      <alignment wrapText="1"/>
    </xf>
    <xf numFmtId="0" fontId="6" fillId="0" borderId="7" xfId="0" applyFont="1" applyBorder="1" applyAlignment="1">
      <alignment horizontal="right"/>
    </xf>
    <xf numFmtId="1" fontId="7" fillId="0" borderId="12" xfId="1" applyNumberFormat="1" applyFont="1" applyBorder="1" applyAlignment="1">
      <alignment horizontal="center"/>
    </xf>
    <xf numFmtId="2" fontId="7" fillId="0" borderId="12" xfId="1" applyNumberFormat="1" applyFont="1" applyBorder="1" applyAlignment="1">
      <alignment horizontal="center"/>
    </xf>
    <xf numFmtId="0" fontId="7" fillId="0" borderId="8" xfId="0" applyFont="1" applyBorder="1"/>
    <xf numFmtId="37" fontId="6" fillId="0" borderId="6" xfId="1" applyNumberFormat="1" applyFont="1" applyBorder="1" applyAlignment="1">
      <alignment horizontal="center"/>
    </xf>
    <xf numFmtId="164" fontId="7" fillId="0" borderId="6" xfId="1" applyNumberFormat="1" applyFont="1" applyBorder="1" applyAlignment="1">
      <alignment horizontal="center"/>
    </xf>
    <xf numFmtId="0" fontId="6" fillId="0" borderId="10" xfId="0" applyFont="1" applyBorder="1"/>
    <xf numFmtId="1" fontId="6" fillId="0" borderId="10" xfId="1" applyNumberFormat="1" applyFont="1" applyBorder="1" applyAlignment="1">
      <alignment horizontal="center"/>
    </xf>
    <xf numFmtId="164" fontId="6" fillId="0" borderId="10" xfId="1" applyNumberFormat="1" applyFont="1" applyBorder="1" applyAlignment="1">
      <alignment horizontal="center"/>
    </xf>
    <xf numFmtId="37" fontId="6" fillId="0" borderId="13" xfId="1" applyNumberFormat="1" applyFont="1" applyBorder="1" applyAlignment="1">
      <alignment horizontal="center"/>
    </xf>
    <xf numFmtId="164" fontId="6" fillId="0" borderId="15" xfId="1" applyNumberFormat="1" applyFont="1" applyBorder="1" applyAlignment="1">
      <alignment horizontal="center"/>
    </xf>
    <xf numFmtId="0" fontId="6" fillId="0" borderId="5" xfId="0" applyFont="1" applyBorder="1" applyAlignment="1">
      <alignment horizontal="right"/>
    </xf>
    <xf numFmtId="0" fontId="7" fillId="0" borderId="12" xfId="0" applyFont="1" applyBorder="1"/>
    <xf numFmtId="0" fontId="7" fillId="0" borderId="11" xfId="0" applyFont="1" applyBorder="1"/>
    <xf numFmtId="1" fontId="6" fillId="0" borderId="0" xfId="0" applyNumberFormat="1" applyFont="1" applyBorder="1"/>
    <xf numFmtId="164" fontId="6" fillId="0" borderId="13" xfId="0" applyNumberFormat="1" applyFont="1" applyBorder="1"/>
    <xf numFmtId="164" fontId="7" fillId="0" borderId="13" xfId="0" applyNumberFormat="1" applyFont="1" applyBorder="1"/>
    <xf numFmtId="164" fontId="7" fillId="0" borderId="0" xfId="1" applyNumberFormat="1" applyFont="1" applyFill="1" applyBorder="1" applyAlignment="1">
      <alignment horizontal="center" vertical="center"/>
    </xf>
    <xf numFmtId="0" fontId="7" fillId="0" borderId="17" xfId="0" applyFont="1" applyBorder="1"/>
    <xf numFmtId="0" fontId="6" fillId="0" borderId="15" xfId="0" applyFont="1" applyBorder="1"/>
    <xf numFmtId="0" fontId="6" fillId="0" borderId="16" xfId="0" applyFont="1" applyBorder="1" applyAlignment="1">
      <alignment horizontal="right"/>
    </xf>
    <xf numFmtId="0" fontId="6" fillId="0" borderId="15" xfId="0" applyFont="1" applyBorder="1" applyAlignment="1">
      <alignment horizontal="left"/>
    </xf>
    <xf numFmtId="1" fontId="6" fillId="0" borderId="12" xfId="0" applyNumberFormat="1" applyFont="1" applyBorder="1"/>
    <xf numFmtId="164" fontId="6" fillId="0" borderId="12" xfId="0" applyNumberFormat="1" applyFont="1" applyBorder="1"/>
    <xf numFmtId="164" fontId="7" fillId="0" borderId="12" xfId="0" applyNumberFormat="1" applyFont="1" applyBorder="1"/>
    <xf numFmtId="37" fontId="6" fillId="0" borderId="6" xfId="0" applyNumberFormat="1" applyFont="1" applyBorder="1" applyAlignment="1">
      <alignment horizontal="center"/>
    </xf>
    <xf numFmtId="37" fontId="6" fillId="0" borderId="12" xfId="0" applyNumberFormat="1" applyFont="1" applyBorder="1" applyAlignment="1">
      <alignment horizontal="center"/>
    </xf>
    <xf numFmtId="0" fontId="26" fillId="0" borderId="0" xfId="0" applyFont="1" applyFill="1" applyBorder="1"/>
    <xf numFmtId="164" fontId="7" fillId="2" borderId="4" xfId="1" applyNumberFormat="1" applyFont="1" applyFill="1" applyBorder="1" applyAlignment="1">
      <alignment horizontal="center" vertical="center"/>
    </xf>
    <xf numFmtId="164" fontId="7" fillId="2" borderId="4" xfId="1" applyNumberFormat="1" applyFont="1" applyFill="1" applyBorder="1" applyAlignment="1">
      <alignment horizontal="right" vertical="center"/>
    </xf>
    <xf numFmtId="164" fontId="7" fillId="2" borderId="1" xfId="1" applyNumberFormat="1" applyFont="1" applyFill="1" applyBorder="1" applyAlignment="1">
      <alignment horizontal="right" vertical="center"/>
    </xf>
    <xf numFmtId="164" fontId="7" fillId="3" borderId="3" xfId="1" applyNumberFormat="1" applyFont="1" applyFill="1" applyBorder="1" applyAlignment="1">
      <alignment horizontal="center" vertical="center"/>
    </xf>
    <xf numFmtId="0" fontId="7" fillId="2" borderId="1" xfId="0" applyFont="1" applyFill="1" applyBorder="1" applyAlignment="1">
      <alignment vertical="center"/>
    </xf>
    <xf numFmtId="0" fontId="7" fillId="8" borderId="12" xfId="0" applyFont="1" applyFill="1" applyBorder="1" applyAlignment="1">
      <alignment horizontal="center"/>
    </xf>
    <xf numFmtId="2" fontId="7" fillId="8" borderId="12" xfId="0" applyNumberFormat="1" applyFont="1" applyFill="1" applyBorder="1" applyAlignment="1">
      <alignment horizontal="center"/>
    </xf>
    <xf numFmtId="164" fontId="7" fillId="8" borderId="12" xfId="1" applyNumberFormat="1" applyFont="1" applyFill="1" applyBorder="1" applyAlignment="1">
      <alignment horizontal="center"/>
    </xf>
    <xf numFmtId="37" fontId="7" fillId="8" borderId="1" xfId="1" applyNumberFormat="1" applyFont="1" applyFill="1" applyBorder="1" applyAlignment="1">
      <alignment horizontal="center" wrapText="1"/>
    </xf>
    <xf numFmtId="164" fontId="7" fillId="8" borderId="1" xfId="1" applyNumberFormat="1" applyFont="1" applyFill="1" applyBorder="1" applyAlignment="1">
      <alignment horizontal="center"/>
    </xf>
    <xf numFmtId="164" fontId="8" fillId="3" borderId="14" xfId="1" applyNumberFormat="1" applyFont="1" applyFill="1" applyBorder="1" applyAlignment="1">
      <alignment horizontal="center"/>
    </xf>
    <xf numFmtId="0" fontId="7" fillId="0" borderId="0" xfId="0" applyFont="1" applyBorder="1" applyAlignment="1">
      <alignment horizontal="left"/>
    </xf>
    <xf numFmtId="0" fontId="7" fillId="3" borderId="1" xfId="0" applyFont="1" applyFill="1" applyBorder="1"/>
    <xf numFmtId="0" fontId="6" fillId="3" borderId="1" xfId="0" applyFont="1" applyFill="1" applyBorder="1"/>
    <xf numFmtId="0" fontId="7" fillId="3" borderId="1" xfId="0" applyFont="1" applyFill="1" applyBorder="1" applyAlignment="1">
      <alignment horizontal="center"/>
    </xf>
    <xf numFmtId="164" fontId="6" fillId="3" borderId="1" xfId="1" applyNumberFormat="1" applyFont="1" applyFill="1" applyBorder="1" applyAlignment="1">
      <alignment horizontal="center"/>
    </xf>
    <xf numFmtId="0" fontId="6" fillId="3" borderId="1" xfId="0" applyFont="1" applyFill="1" applyBorder="1" applyAlignment="1">
      <alignment horizontal="center"/>
    </xf>
    <xf numFmtId="39" fontId="6" fillId="0" borderId="6" xfId="1" applyNumberFormat="1" applyFont="1" applyBorder="1" applyAlignment="1">
      <alignment horizontal="center"/>
    </xf>
    <xf numFmtId="164" fontId="6" fillId="0" borderId="13" xfId="1" applyNumberFormat="1" applyFont="1" applyBorder="1" applyAlignment="1">
      <alignment horizontal="center"/>
    </xf>
    <xf numFmtId="164" fontId="6" fillId="0" borderId="14" xfId="1" applyNumberFormat="1" applyFont="1" applyBorder="1" applyAlignment="1">
      <alignment horizontal="center"/>
    </xf>
    <xf numFmtId="0" fontId="18" fillId="0" borderId="8" xfId="0" applyFont="1" applyBorder="1"/>
    <xf numFmtId="164" fontId="7" fillId="0" borderId="16" xfId="1" applyNumberFormat="1" applyFont="1" applyBorder="1" applyAlignment="1">
      <alignment horizontal="center"/>
    </xf>
    <xf numFmtId="12" fontId="6" fillId="0" borderId="0" xfId="1" applyNumberFormat="1" applyFont="1" applyBorder="1" applyAlignment="1">
      <alignment horizontal="center"/>
    </xf>
    <xf numFmtId="164" fontId="24" fillId="0" borderId="6" xfId="1" applyNumberFormat="1" applyFont="1" applyBorder="1" applyAlignment="1">
      <alignment horizontal="center"/>
    </xf>
    <xf numFmtId="37" fontId="7" fillId="0" borderId="14" xfId="1" applyNumberFormat="1" applyFont="1" applyBorder="1" applyAlignment="1">
      <alignment horizontal="center"/>
    </xf>
    <xf numFmtId="164" fontId="6" fillId="0" borderId="13" xfId="1" applyNumberFormat="1" applyFont="1" applyBorder="1"/>
    <xf numFmtId="164" fontId="6" fillId="0" borderId="6" xfId="1" applyNumberFormat="1" applyFont="1" applyBorder="1"/>
    <xf numFmtId="164" fontId="6" fillId="0" borderId="15" xfId="1" applyNumberFormat="1" applyFont="1" applyBorder="1"/>
    <xf numFmtId="164" fontId="6" fillId="0" borderId="0" xfId="1" applyNumberFormat="1" applyFont="1" applyBorder="1"/>
    <xf numFmtId="164" fontId="6" fillId="0" borderId="0" xfId="1" applyNumberFormat="1" applyFont="1" applyFill="1" applyBorder="1"/>
    <xf numFmtId="167" fontId="6" fillId="0" borderId="13" xfId="0" applyNumberFormat="1" applyFont="1" applyBorder="1"/>
    <xf numFmtId="164" fontId="6" fillId="0" borderId="13" xfId="0" applyNumberFormat="1" applyFont="1" applyBorder="1" applyAlignment="1">
      <alignment horizontal="center"/>
    </xf>
    <xf numFmtId="0" fontId="6" fillId="0" borderId="0" xfId="0" applyFont="1" applyAlignment="1">
      <alignment wrapText="1"/>
    </xf>
    <xf numFmtId="164" fontId="6" fillId="0" borderId="1" xfId="1" applyNumberFormat="1" applyFont="1" applyBorder="1" applyAlignment="1">
      <alignment horizontal="center"/>
    </xf>
    <xf numFmtId="0" fontId="7" fillId="3" borderId="2" xfId="0" applyFont="1" applyFill="1" applyBorder="1" applyAlignment="1">
      <alignment horizontal="left"/>
    </xf>
    <xf numFmtId="164" fontId="26" fillId="0" borderId="0" xfId="1" applyNumberFormat="1" applyFont="1" applyFill="1" applyBorder="1" applyAlignment="1">
      <alignment horizontal="center"/>
    </xf>
    <xf numFmtId="164" fontId="28" fillId="0" borderId="0" xfId="1" applyNumberFormat="1" applyFont="1" applyFill="1" applyBorder="1" applyAlignment="1">
      <alignment horizontal="center"/>
    </xf>
    <xf numFmtId="164" fontId="26" fillId="0" borderId="0" xfId="1" applyNumberFormat="1" applyFont="1" applyBorder="1" applyAlignment="1">
      <alignment horizontal="center"/>
    </xf>
    <xf numFmtId="164" fontId="28" fillId="0" borderId="0" xfId="1" applyNumberFormat="1" applyFont="1" applyBorder="1" applyAlignment="1">
      <alignment horizontal="center"/>
    </xf>
    <xf numFmtId="0" fontId="19" fillId="0" borderId="0" xfId="0" applyFont="1"/>
    <xf numFmtId="0" fontId="22" fillId="0" borderId="0" xfId="0" applyFont="1" applyAlignment="1">
      <alignment horizontal="center"/>
    </xf>
    <xf numFmtId="164" fontId="19" fillId="0" borderId="1" xfId="0" applyNumberFormat="1" applyFont="1" applyBorder="1"/>
    <xf numFmtId="0" fontId="19" fillId="0" borderId="0" xfId="0" applyFont="1" applyFill="1" applyBorder="1"/>
    <xf numFmtId="0" fontId="22" fillId="9" borderId="25" xfId="0" applyFont="1" applyFill="1" applyBorder="1" applyAlignment="1">
      <alignment horizontal="right"/>
    </xf>
    <xf numFmtId="0" fontId="22" fillId="9" borderId="26" xfId="0" applyFont="1" applyFill="1" applyBorder="1" applyAlignment="1">
      <alignment horizontal="center"/>
    </xf>
    <xf numFmtId="0" fontId="22" fillId="9" borderId="27" xfId="0" applyFont="1" applyFill="1" applyBorder="1" applyAlignment="1">
      <alignment horizontal="center"/>
    </xf>
    <xf numFmtId="0" fontId="22" fillId="9" borderId="29" xfId="0" applyFont="1" applyFill="1" applyBorder="1" applyAlignment="1">
      <alignment horizontal="right"/>
    </xf>
    <xf numFmtId="0" fontId="22" fillId="9" borderId="28" xfId="0" applyFont="1" applyFill="1" applyBorder="1"/>
    <xf numFmtId="164" fontId="22" fillId="0" borderId="30" xfId="0" applyNumberFormat="1" applyFont="1" applyBorder="1"/>
    <xf numFmtId="165" fontId="0" fillId="0" borderId="0" xfId="0" applyNumberFormat="1"/>
    <xf numFmtId="12" fontId="3" fillId="0" borderId="0" xfId="0" applyNumberFormat="1" applyFont="1"/>
    <xf numFmtId="165" fontId="3" fillId="0" borderId="0" xfId="0" applyNumberFormat="1" applyFont="1"/>
    <xf numFmtId="0" fontId="18" fillId="0" borderId="0" xfId="0" applyFont="1" applyAlignment="1">
      <alignment wrapText="1"/>
    </xf>
    <xf numFmtId="0" fontId="12" fillId="0" borderId="0" xfId="0" applyFont="1" applyBorder="1" applyAlignment="1">
      <alignment horizontal="left"/>
    </xf>
    <xf numFmtId="0" fontId="9" fillId="2" borderId="1" xfId="0" applyFont="1" applyFill="1" applyBorder="1" applyAlignment="1">
      <alignment horizontal="right"/>
    </xf>
    <xf numFmtId="0" fontId="9" fillId="2" borderId="1" xfId="0" applyFont="1" applyFill="1" applyBorder="1" applyAlignment="1">
      <alignment horizontal="left" vertical="center"/>
    </xf>
    <xf numFmtId="171" fontId="19" fillId="0" borderId="0" xfId="5" applyNumberFormat="1" applyFont="1"/>
    <xf numFmtId="0" fontId="23" fillId="4" borderId="31" xfId="4" applyFont="1" applyBorder="1" applyAlignment="1">
      <alignment horizontal="left" vertical="top" wrapText="1"/>
    </xf>
    <xf numFmtId="0" fontId="23" fillId="4" borderId="1" xfId="4" applyFont="1" applyBorder="1" applyAlignment="1">
      <alignment horizontal="left" vertical="top" wrapText="1"/>
    </xf>
    <xf numFmtId="171" fontId="22" fillId="0" borderId="0" xfId="5" applyNumberFormat="1" applyFont="1"/>
    <xf numFmtId="0" fontId="29" fillId="7" borderId="22" xfId="0" applyFont="1" applyFill="1" applyBorder="1"/>
    <xf numFmtId="0" fontId="30" fillId="0" borderId="24" xfId="0" applyFont="1" applyBorder="1" applyAlignment="1">
      <alignment horizontal="left" vertical="top" wrapText="1"/>
    </xf>
    <xf numFmtId="0" fontId="30" fillId="0" borderId="0" xfId="0" applyFont="1" applyBorder="1" applyAlignment="1">
      <alignment horizontal="left" vertical="top" wrapText="1"/>
    </xf>
    <xf numFmtId="0" fontId="21" fillId="4" borderId="18" xfId="4" applyFont="1" applyAlignment="1">
      <alignment horizontal="left" vertical="top" wrapText="1"/>
    </xf>
    <xf numFmtId="0" fontId="31" fillId="0" borderId="0" xfId="0" applyFont="1"/>
    <xf numFmtId="165" fontId="30" fillId="0" borderId="0" xfId="1" applyFont="1" applyBorder="1" applyAlignment="1">
      <alignment horizontal="left" vertical="top" wrapText="1"/>
    </xf>
    <xf numFmtId="0" fontId="29" fillId="7" borderId="20" xfId="0" applyFont="1" applyFill="1" applyBorder="1"/>
    <xf numFmtId="0" fontId="29" fillId="7" borderId="21" xfId="0" applyFont="1" applyFill="1" applyBorder="1"/>
    <xf numFmtId="0" fontId="30" fillId="0" borderId="23" xfId="0" applyFont="1" applyBorder="1" applyAlignment="1">
      <alignment horizontal="left" vertical="top" wrapText="1"/>
    </xf>
    <xf numFmtId="165" fontId="30" fillId="0" borderId="23" xfId="1" applyFont="1" applyBorder="1" applyAlignment="1">
      <alignment horizontal="left" vertical="top" wrapText="1"/>
    </xf>
    <xf numFmtId="0" fontId="30" fillId="0" borderId="23" xfId="0" applyFont="1" applyBorder="1" applyAlignment="1">
      <alignment vertical="top" wrapText="1"/>
    </xf>
    <xf numFmtId="165" fontId="21" fillId="4" borderId="18" xfId="1" applyFont="1" applyFill="1" applyBorder="1" applyAlignment="1">
      <alignment horizontal="left" vertical="top" wrapText="1"/>
    </xf>
    <xf numFmtId="0" fontId="6" fillId="0" borderId="13" xfId="0" applyFont="1" applyBorder="1"/>
    <xf numFmtId="0" fontId="6" fillId="0" borderId="15" xfId="0" applyFont="1" applyFill="1" applyBorder="1" applyAlignment="1">
      <alignment horizontal="left" wrapText="1"/>
    </xf>
    <xf numFmtId="167" fontId="6" fillId="0" borderId="6" xfId="3" applyNumberFormat="1" applyFont="1" applyBorder="1"/>
    <xf numFmtId="0" fontId="3" fillId="0" borderId="0" xfId="6"/>
    <xf numFmtId="0" fontId="8" fillId="0" borderId="0" xfId="6" applyFont="1"/>
    <xf numFmtId="0" fontId="6" fillId="0" borderId="0" xfId="6" applyFont="1"/>
    <xf numFmtId="0" fontId="3" fillId="0" borderId="0" xfId="6" applyFont="1"/>
    <xf numFmtId="0" fontId="32" fillId="0" borderId="0" xfId="6" applyFont="1"/>
    <xf numFmtId="0" fontId="6" fillId="0" borderId="0" xfId="7" applyFont="1"/>
    <xf numFmtId="0" fontId="6" fillId="0" borderId="0" xfId="7" applyFont="1" applyBorder="1"/>
    <xf numFmtId="0" fontId="8" fillId="0" borderId="9" xfId="0" applyFont="1" applyBorder="1"/>
    <xf numFmtId="0" fontId="6" fillId="0" borderId="0" xfId="0" applyFont="1" applyBorder="1" applyAlignment="1">
      <alignment horizontal="left" indent="1"/>
    </xf>
    <xf numFmtId="0" fontId="6" fillId="0" borderId="0" xfId="0" applyFont="1" applyBorder="1" applyAlignment="1">
      <alignment horizontal="left" vertical="center" indent="1"/>
    </xf>
    <xf numFmtId="172" fontId="8" fillId="0" borderId="6" xfId="1" applyNumberFormat="1" applyFont="1" applyFill="1" applyBorder="1" applyAlignment="1">
      <alignment horizontal="center"/>
    </xf>
    <xf numFmtId="172" fontId="6" fillId="0" borderId="13" xfId="1" applyNumberFormat="1" applyFont="1" applyBorder="1" applyAlignment="1">
      <alignment horizontal="center"/>
    </xf>
    <xf numFmtId="172" fontId="7" fillId="0" borderId="14" xfId="0" applyNumberFormat="1" applyFont="1" applyBorder="1" applyAlignment="1">
      <alignment horizontal="center"/>
    </xf>
    <xf numFmtId="173" fontId="6" fillId="0" borderId="13" xfId="1" applyNumberFormat="1" applyFont="1" applyBorder="1" applyAlignment="1">
      <alignment horizontal="center"/>
    </xf>
    <xf numFmtId="173" fontId="6" fillId="0" borderId="6" xfId="0" applyNumberFormat="1" applyFont="1" applyBorder="1"/>
    <xf numFmtId="173" fontId="6" fillId="0" borderId="6" xfId="1" applyNumberFormat="1" applyFont="1" applyBorder="1" applyAlignment="1">
      <alignment horizontal="center"/>
    </xf>
    <xf numFmtId="173" fontId="7" fillId="0" borderId="6" xfId="1" applyNumberFormat="1" applyFont="1" applyBorder="1" applyAlignment="1">
      <alignment horizontal="center"/>
    </xf>
    <xf numFmtId="173" fontId="7" fillId="0" borderId="12" xfId="1" applyNumberFormat="1" applyFont="1" applyBorder="1" applyAlignment="1">
      <alignment horizontal="center"/>
    </xf>
    <xf numFmtId="173" fontId="7" fillId="0" borderId="12" xfId="0" applyNumberFormat="1" applyFont="1" applyFill="1" applyBorder="1" applyAlignment="1">
      <alignment horizontal="center"/>
    </xf>
    <xf numFmtId="172" fontId="6" fillId="0" borderId="6" xfId="1" applyNumberFormat="1" applyFont="1" applyFill="1" applyBorder="1" applyAlignment="1">
      <alignment horizontal="center"/>
    </xf>
    <xf numFmtId="39" fontId="6" fillId="0" borderId="13" xfId="1" applyNumberFormat="1" applyFont="1" applyBorder="1" applyAlignment="1">
      <alignment horizontal="center"/>
    </xf>
    <xf numFmtId="173" fontId="7" fillId="0" borderId="12" xfId="0" applyNumberFormat="1" applyFont="1" applyBorder="1" applyAlignment="1">
      <alignment horizontal="center"/>
    </xf>
    <xf numFmtId="172" fontId="6" fillId="0" borderId="13" xfId="0" applyNumberFormat="1" applyFont="1" applyBorder="1" applyAlignment="1">
      <alignment horizontal="center"/>
    </xf>
    <xf numFmtId="0" fontId="18" fillId="0" borderId="0" xfId="8" applyFont="1"/>
    <xf numFmtId="0" fontId="6" fillId="0" borderId="0" xfId="8" applyFont="1"/>
    <xf numFmtId="164" fontId="6" fillId="0" borderId="15" xfId="1" applyNumberFormat="1" applyFont="1" applyBorder="1" applyAlignment="1">
      <alignment horizontal="right"/>
    </xf>
    <xf numFmtId="0" fontId="34" fillId="0" borderId="0" xfId="6" applyFont="1"/>
    <xf numFmtId="165" fontId="21" fillId="10" borderId="18" xfId="4" applyNumberFormat="1" applyFont="1" applyFill="1" applyAlignment="1">
      <alignment horizontal="left" vertical="top" wrapText="1"/>
    </xf>
    <xf numFmtId="0" fontId="21" fillId="10" borderId="18" xfId="4" applyFont="1" applyFill="1" applyAlignment="1">
      <alignment horizontal="left" vertical="top" wrapText="1"/>
    </xf>
    <xf numFmtId="0" fontId="35" fillId="0" borderId="0" xfId="6" applyFont="1"/>
    <xf numFmtId="0" fontId="35" fillId="0" borderId="0" xfId="0" applyFont="1"/>
    <xf numFmtId="10" fontId="19" fillId="0" borderId="0" xfId="0" applyNumberFormat="1" applyFont="1"/>
    <xf numFmtId="174" fontId="19" fillId="0" borderId="0" xfId="0" applyNumberFormat="1" applyFont="1"/>
    <xf numFmtId="0" fontId="19" fillId="0" borderId="0" xfId="0" applyFont="1" applyAlignment="1">
      <alignment horizontal="right"/>
    </xf>
    <xf numFmtId="175" fontId="19" fillId="0" borderId="0" xfId="0" applyNumberFormat="1" applyFont="1"/>
    <xf numFmtId="176" fontId="19" fillId="0" borderId="0" xfId="0" applyNumberFormat="1" applyFont="1"/>
    <xf numFmtId="177" fontId="19" fillId="0" borderId="0" xfId="0" applyNumberFormat="1" applyFont="1"/>
    <xf numFmtId="164" fontId="19" fillId="0" borderId="0" xfId="0" applyNumberFormat="1" applyFont="1"/>
    <xf numFmtId="176" fontId="19" fillId="0" borderId="0" xfId="1" applyNumberFormat="1" applyFont="1"/>
    <xf numFmtId="165" fontId="19" fillId="0" borderId="0" xfId="0" applyNumberFormat="1" applyFont="1"/>
    <xf numFmtId="177" fontId="1" fillId="0" borderId="0" xfId="90" applyNumberFormat="1"/>
    <xf numFmtId="177" fontId="1" fillId="0" borderId="0" xfId="90" applyNumberFormat="1"/>
    <xf numFmtId="9" fontId="6" fillId="0" borderId="0" xfId="3" applyFont="1"/>
    <xf numFmtId="9" fontId="6" fillId="0" borderId="0" xfId="3" applyFont="1" applyAlignment="1">
      <alignment horizontal="left" vertical="center" indent="1"/>
    </xf>
    <xf numFmtId="9" fontId="19" fillId="0" borderId="0" xfId="3" applyFont="1"/>
    <xf numFmtId="0" fontId="8" fillId="0" borderId="0" xfId="6" applyFont="1" applyAlignment="1">
      <alignment wrapText="1"/>
    </xf>
    <xf numFmtId="0" fontId="3" fillId="0" borderId="0" xfId="6" applyAlignment="1">
      <alignment wrapText="1"/>
    </xf>
    <xf numFmtId="0" fontId="32" fillId="0" borderId="0" xfId="6" applyFont="1" applyAlignment="1">
      <alignment wrapText="1"/>
    </xf>
    <xf numFmtId="0" fontId="30" fillId="0" borderId="0" xfId="6"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center" wrapText="1" indent="1"/>
    </xf>
    <xf numFmtId="0" fontId="6" fillId="0" borderId="0" xfId="0" applyFont="1" applyAlignment="1">
      <alignment horizontal="left" wrapText="1" indent="1"/>
    </xf>
    <xf numFmtId="0" fontId="0" fillId="0" borderId="0" xfId="0" applyAlignment="1">
      <alignment horizontal="left" indent="1"/>
    </xf>
    <xf numFmtId="0" fontId="18" fillId="0" borderId="0" xfId="0" applyFont="1" applyAlignment="1">
      <alignment wrapText="1"/>
    </xf>
    <xf numFmtId="164" fontId="7" fillId="2" borderId="2" xfId="1" applyNumberFormat="1" applyFont="1" applyFill="1" applyBorder="1" applyAlignment="1">
      <alignment horizontal="right" vertical="center"/>
    </xf>
    <xf numFmtId="164" fontId="7" fillId="2" borderId="3" xfId="1" applyNumberFormat="1" applyFont="1" applyFill="1" applyBorder="1" applyAlignment="1">
      <alignment horizontal="right" vertical="center"/>
    </xf>
    <xf numFmtId="164" fontId="7" fillId="2" borderId="4" xfId="1" applyNumberFormat="1" applyFont="1" applyFill="1" applyBorder="1" applyAlignment="1">
      <alignment horizontal="right" vertical="center"/>
    </xf>
    <xf numFmtId="164" fontId="7" fillId="3" borderId="2" xfId="1" applyNumberFormat="1" applyFont="1" applyFill="1" applyBorder="1" applyAlignment="1">
      <alignment horizontal="right" vertical="center"/>
    </xf>
    <xf numFmtId="164" fontId="7" fillId="3" borderId="3" xfId="1" applyNumberFormat="1" applyFont="1" applyFill="1" applyBorder="1" applyAlignment="1">
      <alignment horizontal="right" vertical="center"/>
    </xf>
    <xf numFmtId="164" fontId="7" fillId="3" borderId="4" xfId="1" applyNumberFormat="1" applyFont="1" applyFill="1" applyBorder="1" applyAlignment="1">
      <alignment horizontal="right" vertical="center"/>
    </xf>
    <xf numFmtId="0" fontId="6" fillId="0" borderId="0" xfId="0" applyFont="1" applyAlignment="1">
      <alignment wrapText="1"/>
    </xf>
    <xf numFmtId="0" fontId="3" fillId="0" borderId="0" xfId="0" applyFont="1" applyAlignment="1">
      <alignment wrapText="1"/>
    </xf>
    <xf numFmtId="0" fontId="3" fillId="0" borderId="0" xfId="0" applyFont="1" applyBorder="1" applyAlignment="1">
      <alignment horizontal="center"/>
    </xf>
    <xf numFmtId="0" fontId="19" fillId="0" borderId="0" xfId="0" applyFont="1" applyAlignment="1">
      <alignment horizontal="left" vertical="center" wrapText="1" indent="1"/>
    </xf>
    <xf numFmtId="0" fontId="3" fillId="0" borderId="0" xfId="0" applyFont="1" applyAlignment="1">
      <alignment horizontal="left" vertical="center" wrapText="1" indent="1"/>
    </xf>
    <xf numFmtId="0" fontId="7" fillId="0" borderId="1" xfId="0" applyFont="1" applyBorder="1" applyAlignment="1">
      <alignment horizontal="left"/>
    </xf>
    <xf numFmtId="0" fontId="7" fillId="0" borderId="0" xfId="0" applyFont="1" applyAlignment="1">
      <alignment wrapText="1"/>
    </xf>
    <xf numFmtId="0" fontId="7" fillId="2" borderId="2" xfId="0" applyFont="1" applyFill="1" applyBorder="1" applyAlignment="1">
      <alignment horizontal="right"/>
    </xf>
    <xf numFmtId="0" fontId="7" fillId="2" borderId="3" xfId="0" applyFont="1" applyFill="1" applyBorder="1" applyAlignment="1">
      <alignment horizontal="right"/>
    </xf>
    <xf numFmtId="0" fontId="7" fillId="2" borderId="4" xfId="0" applyFont="1" applyFill="1" applyBorder="1" applyAlignment="1">
      <alignment horizontal="right"/>
    </xf>
    <xf numFmtId="0" fontId="7" fillId="3" borderId="3" xfId="0" applyFont="1" applyFill="1" applyBorder="1" applyAlignment="1">
      <alignment horizontal="right"/>
    </xf>
    <xf numFmtId="0" fontId="7" fillId="3" borderId="4" xfId="0" applyFont="1" applyFill="1" applyBorder="1" applyAlignment="1">
      <alignment horizontal="right"/>
    </xf>
    <xf numFmtId="0" fontId="9" fillId="2" borderId="2" xfId="0" applyFont="1" applyFill="1" applyBorder="1" applyAlignment="1">
      <alignment horizontal="right"/>
    </xf>
    <xf numFmtId="0" fontId="9" fillId="2" borderId="3" xfId="0" applyFont="1" applyFill="1" applyBorder="1" applyAlignment="1">
      <alignment horizontal="right"/>
    </xf>
    <xf numFmtId="0" fontId="9" fillId="2" borderId="4" xfId="0" applyFont="1" applyFill="1" applyBorder="1" applyAlignment="1">
      <alignment horizontal="right"/>
    </xf>
    <xf numFmtId="164" fontId="9" fillId="3" borderId="3" xfId="1" applyNumberFormat="1" applyFont="1" applyFill="1" applyBorder="1" applyAlignment="1">
      <alignment horizontal="right"/>
    </xf>
    <xf numFmtId="0" fontId="6" fillId="0" borderId="0" xfId="0" applyFont="1" applyBorder="1" applyAlignment="1">
      <alignment horizontal="left" vertical="center" wrapText="1" indent="1"/>
    </xf>
    <xf numFmtId="0" fontId="3" fillId="0" borderId="0" xfId="0" applyFont="1" applyBorder="1" applyAlignment="1">
      <alignment horizontal="left" vertical="center" wrapText="1" indent="1"/>
    </xf>
    <xf numFmtId="0" fontId="33" fillId="5" borderId="0" xfId="0" applyFont="1" applyFill="1" applyBorder="1" applyAlignment="1">
      <alignment horizontal="center"/>
    </xf>
    <xf numFmtId="0" fontId="33" fillId="6" borderId="19" xfId="0" applyFont="1" applyFill="1" applyBorder="1" applyAlignment="1">
      <alignment horizontal="center"/>
    </xf>
    <xf numFmtId="0" fontId="0" fillId="0" borderId="0" xfId="0"/>
  </cellXfs>
  <cellStyles count="110">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amount" xfId="39"/>
    <cellStyle name="amount 2" xfId="96"/>
    <cellStyle name="amount 3" xfId="86"/>
    <cellStyle name="Bad 2" xfId="40"/>
    <cellStyle name="Body text" xfId="41"/>
    <cellStyle name="Calculation 2" xfId="42"/>
    <cellStyle name="Calculation 2 2" xfId="97"/>
    <cellStyle name="Calculation 2 3" xfId="105"/>
    <cellStyle name="Check Cell 2" xfId="43"/>
    <cellStyle name="Comma" xfId="5" builtinId="3"/>
    <cellStyle name="Comma 2" xfId="44"/>
    <cellStyle name="Comma 2 2" xfId="87"/>
    <cellStyle name="Comma 3" xfId="81"/>
    <cellStyle name="Comma 4" xfId="82"/>
    <cellStyle name="Comma 4 2" xfId="107"/>
    <cellStyle name="Comma 5" xfId="10"/>
    <cellStyle name="Comma 5 2" xfId="92"/>
    <cellStyle name="Comma 6" xfId="85"/>
    <cellStyle name="Currency" xfId="1" builtinId="4"/>
    <cellStyle name="Currency 2" xfId="12"/>
    <cellStyle name="Currency 3" xfId="46"/>
    <cellStyle name="Currency 3 2" xfId="88"/>
    <cellStyle name="Currency 4" xfId="45"/>
    <cellStyle name="Explanatory Text 2" xfId="47"/>
    <cellStyle name="Good 2" xfId="48"/>
    <cellStyle name="header" xfId="49"/>
    <cellStyle name="Header Total" xfId="50"/>
    <cellStyle name="Header1" xfId="51"/>
    <cellStyle name="Header2" xfId="52"/>
    <cellStyle name="Header3" xfId="53"/>
    <cellStyle name="Header4" xfId="54"/>
    <cellStyle name="Heading 1 2" xfId="55"/>
    <cellStyle name="Heading 2 2" xfId="56"/>
    <cellStyle name="Heading 3 2" xfId="57"/>
    <cellStyle name="Heading 4 2" xfId="58"/>
    <cellStyle name="Hyperlink" xfId="2" builtinId="8"/>
    <cellStyle name="Input 2" xfId="59"/>
    <cellStyle name="Input 2 2" xfId="98"/>
    <cellStyle name="Input 2 3" xfId="95"/>
    <cellStyle name="Linked Cell 2" xfId="60"/>
    <cellStyle name="Neutral 2" xfId="61"/>
    <cellStyle name="NonPrint_Heading" xfId="62"/>
    <cellStyle name="Normal" xfId="0" builtinId="0"/>
    <cellStyle name="Normal 2" xfId="11"/>
    <cellStyle name="Normal 2 2" xfId="63"/>
    <cellStyle name="Normal 2 3" xfId="64"/>
    <cellStyle name="Normal 2 3 2" xfId="99"/>
    <cellStyle name="Normal 2 3 3" xfId="89"/>
    <cellStyle name="Normal 3" xfId="65"/>
    <cellStyle name="Normal 4" xfId="66"/>
    <cellStyle name="Normal 5" xfId="67"/>
    <cellStyle name="Normal 5 2" xfId="90"/>
    <cellStyle name="Normal 6" xfId="14"/>
    <cellStyle name="Normal 7" xfId="79"/>
    <cellStyle name="Normal 7 2" xfId="106"/>
    <cellStyle name="Normal 8" xfId="9"/>
    <cellStyle name="Normal 8 2" xfId="91"/>
    <cellStyle name="Normal 9" xfId="84"/>
    <cellStyle name="Normal_Corporate Support" xfId="7"/>
    <cellStyle name="Normal_LTA" xfId="8"/>
    <cellStyle name="Normal_Sheet1" xfId="6"/>
    <cellStyle name="Note 2" xfId="68"/>
    <cellStyle name="Note 2 2" xfId="100"/>
    <cellStyle name="Note 2 3" xfId="94"/>
    <cellStyle name="Note 3" xfId="69"/>
    <cellStyle name="Note 3 2" xfId="101"/>
    <cellStyle name="Note 3 3" xfId="93"/>
    <cellStyle name="Output" xfId="4" builtinId="21"/>
    <cellStyle name="Output 2" xfId="70"/>
    <cellStyle name="Output 2 2" xfId="102"/>
    <cellStyle name="Output 2 3" xfId="104"/>
    <cellStyle name="Output 3" xfId="80"/>
    <cellStyle name="Percent" xfId="3" builtinId="5"/>
    <cellStyle name="Percent 2" xfId="13"/>
    <cellStyle name="Percent 3" xfId="72"/>
    <cellStyle name="Percent 4" xfId="71"/>
    <cellStyle name="Percent 5" xfId="83"/>
    <cellStyle name="Percent 5 2" xfId="108"/>
    <cellStyle name="Product Title" xfId="73"/>
    <cellStyle name="Text" xfId="74"/>
    <cellStyle name="Title 2" xfId="75"/>
    <cellStyle name="Title 3" xfId="76"/>
    <cellStyle name="Total 2" xfId="77"/>
    <cellStyle name="Total 2 2" xfId="103"/>
    <cellStyle name="Total 2 3" xfId="109"/>
    <cellStyle name="Warning Text 2" xfId="7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MF, LTA and LITL O&amp;M </a:t>
            </a:r>
          </a:p>
          <a:p>
            <a:pPr>
              <a:defRPr sz="1400"/>
            </a:pPr>
            <a:r>
              <a:rPr lang="en-US" sz="1400"/>
              <a:t>Annual Estimate (Jan 2012 CDN$)</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0852325878521029E-2"/>
          <c:y val="0.21387589173177926"/>
          <c:w val="0.92595515934518069"/>
          <c:h val="0.68180702328329745"/>
        </c:manualLayout>
      </c:layout>
      <c:pie3DChart>
        <c:varyColors val="1"/>
        <c:ser>
          <c:idx val="0"/>
          <c:order val="0"/>
          <c:dLbls>
            <c:dLbl>
              <c:idx val="0"/>
              <c:layout>
                <c:manualLayout>
                  <c:x val="-0.2179751944990922"/>
                  <c:y val="0.10107643322783824"/>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7.1078624040588553E-2"/>
                  <c:y val="-0.16668796932417318"/>
                </c:manualLayout>
              </c:layout>
              <c:showLegendKey val="0"/>
              <c:showVal val="1"/>
              <c:showCatName val="1"/>
              <c:showSerName val="0"/>
              <c:showPercent val="0"/>
              <c:showBubbleSize val="0"/>
              <c:extLst>
                <c:ext xmlns:c15="http://schemas.microsoft.com/office/drawing/2012/chart" uri="{CE6537A1-D6FC-4f65-9D91-7224C49458BB}"/>
              </c:extLst>
            </c:dLbl>
            <c:dLbl>
              <c:idx val="2"/>
              <c:layout>
                <c:manualLayout>
                  <c:x val="0.19854128033070528"/>
                  <c:y val="-0.21059308782028399"/>
                </c:manualLayout>
              </c:layout>
              <c:showLegendKey val="0"/>
              <c:showVal val="1"/>
              <c:showCatName val="1"/>
              <c:showSerName val="0"/>
              <c:showPercent val="0"/>
              <c:showBubbleSize val="0"/>
              <c:extLst>
                <c:ext xmlns:c15="http://schemas.microsoft.com/office/drawing/2012/chart" uri="{CE6537A1-D6FC-4f65-9D91-7224C49458BB}"/>
              </c:extLst>
            </c:dLbl>
            <c:dLbl>
              <c:idx val="3"/>
              <c:layout>
                <c:manualLayout>
                  <c:x val="-0.13469757846513225"/>
                  <c:y val="-0.34786943551688226"/>
                </c:manualLayout>
              </c:layout>
              <c:showLegendKey val="0"/>
              <c:showVal val="1"/>
              <c:showCatName val="1"/>
              <c:showSerName val="0"/>
              <c:showPercent val="0"/>
              <c:showBubbleSize val="0"/>
              <c:extLst>
                <c:ext xmlns:c15="http://schemas.microsoft.com/office/drawing/2012/chart" uri="{CE6537A1-D6FC-4f65-9D91-7224C49458BB}"/>
              </c:extLst>
            </c:dLbl>
            <c:dLbl>
              <c:idx val="4"/>
              <c:layout>
                <c:manualLayout>
                  <c:x val="0.18491465518651459"/>
                  <c:y val="6.4786928061039348E-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0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Summary!$B$4:$B$6</c:f>
              <c:strCache>
                <c:ptCount val="3"/>
                <c:pt idx="0">
                  <c:v>Muskrat Falls Generation</c:v>
                </c:pt>
                <c:pt idx="1">
                  <c:v>Labrador Transmission Assets</c:v>
                </c:pt>
                <c:pt idx="2">
                  <c:v>Labrador - Island Transmission Link</c:v>
                </c:pt>
              </c:strCache>
            </c:strRef>
          </c:cat>
          <c:val>
            <c:numRef>
              <c:f>Summary!$C$4:$C$6</c:f>
              <c:numCache>
                <c:formatCode>_("$"* #,##0_);_("$"* \(#,##0\);_("$"* "-"_);_(@_)</c:formatCode>
                <c:ptCount val="3"/>
                <c:pt idx="0">
                  <c:v>6345025.1224999996</c:v>
                </c:pt>
                <c:pt idx="1">
                  <c:v>2148359.6506666662</c:v>
                </c:pt>
                <c:pt idx="2">
                  <c:v>15970623.939928573</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62900">
          <a:schemeClr val="bg1"/>
        </a:gs>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MF, LTA and LITL O&amp;M </a:t>
            </a:r>
          </a:p>
          <a:p>
            <a:pPr>
              <a:defRPr sz="1400"/>
            </a:pPr>
            <a:r>
              <a:rPr lang="en-US" sz="1400"/>
              <a:t>Annual Estimate (2017$)</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0852325878521029E-2"/>
          <c:y val="0.21387589173177926"/>
          <c:w val="0.92595515934518069"/>
          <c:h val="0.68180702328329745"/>
        </c:manualLayout>
      </c:layout>
      <c:pie3DChart>
        <c:varyColors val="1"/>
        <c:ser>
          <c:idx val="0"/>
          <c:order val="0"/>
          <c:dLbls>
            <c:dLbl>
              <c:idx val="0"/>
              <c:layout>
                <c:manualLayout>
                  <c:x val="-0.2179751944990922"/>
                  <c:y val="0.10107643322783824"/>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7.1078624040588553E-2"/>
                  <c:y val="-0.16668796932417318"/>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0.19854128033070528"/>
                  <c:y val="-0.21059308782028399"/>
                </c:manualLayout>
              </c:layout>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0.13469757846513225"/>
                  <c:y val="-0.34786943551688226"/>
                </c:manualLayout>
              </c:layout>
              <c:showLegendKey val="0"/>
              <c:showVal val="1"/>
              <c:showCatName val="1"/>
              <c:showSerName val="0"/>
              <c:showPercent val="0"/>
              <c:showBubbleSize val="0"/>
              <c:extLst>
                <c:ext xmlns:c15="http://schemas.microsoft.com/office/drawing/2012/chart" uri="{CE6537A1-D6FC-4f65-9D91-7224C49458BB}"/>
              </c:extLst>
            </c:dLbl>
            <c:dLbl>
              <c:idx val="4"/>
              <c:layout>
                <c:manualLayout>
                  <c:x val="0.18491465518651459"/>
                  <c:y val="6.4786928061039348E-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0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'Summary - Base Year Escaladed'!$B$4:$B$6</c:f>
              <c:strCache>
                <c:ptCount val="3"/>
                <c:pt idx="0">
                  <c:v>Muskrat Falls Generation</c:v>
                </c:pt>
                <c:pt idx="1">
                  <c:v>Labrador Transmission Assets</c:v>
                </c:pt>
                <c:pt idx="2">
                  <c:v>Labrador - Island Transmission Link</c:v>
                </c:pt>
              </c:strCache>
            </c:strRef>
          </c:cat>
          <c:val>
            <c:numRef>
              <c:f>'Summary - Base Year Escaladed'!$C$4:$C$6</c:f>
              <c:numCache>
                <c:formatCode>_("$"* #,##0_);_("$"* \(#,##0\);_("$"* "-"_);_(@_)</c:formatCode>
                <c:ptCount val="3"/>
                <c:pt idx="0">
                  <c:v>7358283.8729586871</c:v>
                </c:pt>
                <c:pt idx="1">
                  <c:v>2491438.546832277</c:v>
                </c:pt>
                <c:pt idx="2">
                  <c:v>18521027.467888381</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62900">
          <a:schemeClr val="bg1"/>
        </a:gs>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manualLayout>
          <c:layoutTarget val="inner"/>
          <c:xMode val="edge"/>
          <c:yMode val="edge"/>
          <c:x val="3.9833837636287429E-2"/>
          <c:y val="0.20089933803307866"/>
          <c:w val="0.83360308293742846"/>
          <c:h val="0.71889958812279409"/>
        </c:manualLayout>
      </c:layout>
      <c:pie3DChart>
        <c:varyColors val="1"/>
        <c:ser>
          <c:idx val="0"/>
          <c:order val="0"/>
          <c:tx>
            <c:strRef>
              <c:f>'Muskrat Falls'!$B$2</c:f>
              <c:strCache>
                <c:ptCount val="1"/>
                <c:pt idx="0">
                  <c:v>Muskrat Falls Generation Annual Opex</c:v>
                </c:pt>
              </c:strCache>
            </c:strRef>
          </c:tx>
          <c:dLbls>
            <c:dLbl>
              <c:idx val="0"/>
              <c:layout>
                <c:manualLayout>
                  <c:x val="-0.21312141231322976"/>
                  <c:y val="7.3077537076531987E-2"/>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1.1769012497002488E-2"/>
                  <c:y val="-0.11235515994179419"/>
                </c:manualLayout>
              </c:layout>
              <c:showLegendKey val="0"/>
              <c:showVal val="1"/>
              <c:showCatName val="1"/>
              <c:showSerName val="0"/>
              <c:showPercent val="0"/>
              <c:showBubbleSize val="0"/>
              <c:extLst>
                <c:ext xmlns:c15="http://schemas.microsoft.com/office/drawing/2012/chart" uri="{CE6537A1-D6FC-4f65-9D91-7224C49458BB}"/>
              </c:extLst>
            </c:dLbl>
            <c:dLbl>
              <c:idx val="2"/>
              <c:layout>
                <c:manualLayout>
                  <c:x val="-0.2118872532237818"/>
                  <c:y val="-0.30492804341486301"/>
                </c:manualLayout>
              </c:layout>
              <c:showLegendKey val="0"/>
              <c:showVal val="1"/>
              <c:showCatName val="1"/>
              <c:showSerName val="0"/>
              <c:showPercent val="0"/>
              <c:showBubbleSize val="0"/>
              <c:extLst>
                <c:ext xmlns:c15="http://schemas.microsoft.com/office/drawing/2012/chart" uri="{CE6537A1-D6FC-4f65-9D91-7224C49458BB}"/>
              </c:extLst>
            </c:dLbl>
            <c:dLbl>
              <c:idx val="3"/>
              <c:layout>
                <c:manualLayout>
                  <c:x val="0.13130827342234394"/>
                  <c:y val="-0.15949966399127646"/>
                </c:manualLayout>
              </c:layout>
              <c:showLegendKey val="0"/>
              <c:showVal val="1"/>
              <c:showCatName val="1"/>
              <c:showSerName val="0"/>
              <c:showPercent val="0"/>
              <c:showBubbleSize val="0"/>
              <c:extLst>
                <c:ext xmlns:c15="http://schemas.microsoft.com/office/drawing/2012/chart" uri="{CE6537A1-D6FC-4f65-9D91-7224C49458BB}"/>
              </c:extLst>
            </c:dLbl>
            <c:dLbl>
              <c:idx val="4"/>
              <c:layout>
                <c:manualLayout>
                  <c:x val="-1.2426151358576002E-3"/>
                  <c:y val="-6.0830752215825949E-2"/>
                </c:manualLayout>
              </c:layout>
              <c:showLegendKey val="0"/>
              <c:showVal val="1"/>
              <c:showCatName val="1"/>
              <c:showSerName val="0"/>
              <c:showPercent val="0"/>
              <c:showBubbleSize val="0"/>
              <c:extLst>
                <c:ext xmlns:c15="http://schemas.microsoft.com/office/drawing/2012/chart" uri="{CE6537A1-D6FC-4f65-9D91-7224C49458BB}"/>
              </c:extLst>
            </c:dLbl>
            <c:dLbl>
              <c:idx val="5"/>
              <c:layout>
                <c:manualLayout>
                  <c:x val="3.7924121239085291E-2"/>
                  <c:y val="-1.122902615497889E-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2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'Muskrat Falls'!$B$98:$B$103</c:f>
              <c:strCache>
                <c:ptCount val="6"/>
                <c:pt idx="0">
                  <c:v>Staff</c:v>
                </c:pt>
                <c:pt idx="1">
                  <c:v>Vehicles</c:v>
                </c:pt>
                <c:pt idx="2">
                  <c:v>Service Contracts</c:v>
                </c:pt>
                <c:pt idx="3">
                  <c:v>Misc Expenses</c:v>
                </c:pt>
                <c:pt idx="4">
                  <c:v>Corporate Overhead</c:v>
                </c:pt>
                <c:pt idx="5">
                  <c:v>Contingency</c:v>
                </c:pt>
              </c:strCache>
            </c:strRef>
          </c:cat>
          <c:val>
            <c:numRef>
              <c:f>'Muskrat Falls'!$D$98:$D$103</c:f>
              <c:numCache>
                <c:formatCode>_("$"* #,##0_);_("$"* \(#,##0\);_("$"* "-"_);_(@_)</c:formatCode>
                <c:ptCount val="6"/>
                <c:pt idx="0">
                  <c:v>1854210</c:v>
                </c:pt>
                <c:pt idx="1">
                  <c:v>137200</c:v>
                </c:pt>
                <c:pt idx="2">
                  <c:v>1352000</c:v>
                </c:pt>
                <c:pt idx="3">
                  <c:v>1731000</c:v>
                </c:pt>
                <c:pt idx="4">
                  <c:v>509453.6225</c:v>
                </c:pt>
                <c:pt idx="5">
                  <c:v>761161.5</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manualLayout>
          <c:layoutTarget val="inner"/>
          <c:xMode val="edge"/>
          <c:yMode val="edge"/>
          <c:x val="8.852946550786546E-2"/>
          <c:y val="0.17121785265318429"/>
          <c:w val="0.83360308293742846"/>
          <c:h val="0.71889958812279409"/>
        </c:manualLayout>
      </c:layout>
      <c:pie3DChart>
        <c:varyColors val="1"/>
        <c:ser>
          <c:idx val="0"/>
          <c:order val="0"/>
          <c:tx>
            <c:strRef>
              <c:f>LTA!$B$1</c:f>
              <c:strCache>
                <c:ptCount val="1"/>
                <c:pt idx="0">
                  <c:v>Labrador Transmission Assets Annual Opex</c:v>
                </c:pt>
              </c:strCache>
            </c:strRef>
          </c:tx>
          <c:dLbls>
            <c:dLbl>
              <c:idx val="0"/>
              <c:layout>
                <c:manualLayout>
                  <c:x val="-0.24099613341754092"/>
                  <c:y val="6.2672288213362085E-2"/>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8.9548869191359397E-4"/>
                  <c:y val="4.8566556242292391E-2"/>
                </c:manualLayout>
              </c:layout>
              <c:showLegendKey val="0"/>
              <c:showVal val="1"/>
              <c:showCatName val="1"/>
              <c:showSerName val="0"/>
              <c:showPercent val="0"/>
              <c:showBubbleSize val="0"/>
              <c:extLst>
                <c:ext xmlns:c15="http://schemas.microsoft.com/office/drawing/2012/chart" uri="{CE6537A1-D6FC-4f65-9D91-7224C49458BB}"/>
              </c:extLst>
            </c:dLbl>
            <c:dLbl>
              <c:idx val="2"/>
              <c:layout>
                <c:manualLayout>
                  <c:x val="-3.883855089304504E-2"/>
                  <c:y val="4.6901751044755503E-2"/>
                </c:manualLayout>
              </c:layout>
              <c:showLegendKey val="0"/>
              <c:showVal val="1"/>
              <c:showCatName val="1"/>
              <c:showSerName val="0"/>
              <c:showPercent val="0"/>
              <c:showBubbleSize val="0"/>
              <c:extLst>
                <c:ext xmlns:c15="http://schemas.microsoft.com/office/drawing/2012/chart" uri="{CE6537A1-D6FC-4f65-9D91-7224C49458BB}"/>
              </c:extLst>
            </c:dLbl>
            <c:dLbl>
              <c:idx val="3"/>
              <c:layout>
                <c:manualLayout>
                  <c:x val="0.17890899673316946"/>
                  <c:y val="-0.3112678641331203"/>
                </c:manualLayout>
              </c:layout>
              <c:showLegendKey val="0"/>
              <c:showVal val="1"/>
              <c:showCatName val="1"/>
              <c:showSerName val="0"/>
              <c:showPercent val="0"/>
              <c:showBubbleSize val="0"/>
              <c:extLst>
                <c:ext xmlns:c15="http://schemas.microsoft.com/office/drawing/2012/chart" uri="{CE6537A1-D6FC-4f65-9D91-7224C49458BB}"/>
              </c:extLst>
            </c:dLbl>
            <c:dLbl>
              <c:idx val="5"/>
              <c:layout>
                <c:manualLayout>
                  <c:x val="-0.20634627118909882"/>
                  <c:y val="4.0218639741712393E-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2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LTA!$L$30:$L$35</c:f>
              <c:strCache>
                <c:ptCount val="6"/>
                <c:pt idx="0">
                  <c:v>Staff</c:v>
                </c:pt>
                <c:pt idx="1">
                  <c:v>Vehicles</c:v>
                </c:pt>
                <c:pt idx="2">
                  <c:v>Service Contracts</c:v>
                </c:pt>
                <c:pt idx="3">
                  <c:v>Misc Expenses</c:v>
                </c:pt>
                <c:pt idx="4">
                  <c:v>Corporate &amp; ECC</c:v>
                </c:pt>
                <c:pt idx="5">
                  <c:v>Contingency</c:v>
                </c:pt>
              </c:strCache>
            </c:strRef>
          </c:cat>
          <c:val>
            <c:numRef>
              <c:f>LTA!$M$30:$M$35</c:f>
              <c:numCache>
                <c:formatCode>_("$"* #,##0_);_("$"* \(#,##0\);_("$"* "-"_);_(@_)</c:formatCode>
                <c:ptCount val="6"/>
                <c:pt idx="0">
                  <c:v>670075</c:v>
                </c:pt>
                <c:pt idx="1">
                  <c:v>121366.66666666667</c:v>
                </c:pt>
                <c:pt idx="2">
                  <c:v>99925</c:v>
                </c:pt>
                <c:pt idx="3">
                  <c:v>521837.5</c:v>
                </c:pt>
                <c:pt idx="4">
                  <c:v>523174.859</c:v>
                </c:pt>
                <c:pt idx="5">
                  <c:v>211980.62499999997</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manualLayout>
          <c:layoutTarget val="inner"/>
          <c:xMode val="edge"/>
          <c:yMode val="edge"/>
          <c:x val="0.12803018955710388"/>
          <c:y val="0.1994364705285471"/>
          <c:w val="0.77321364462930686"/>
          <c:h val="0.6654669288386269"/>
        </c:manualLayout>
      </c:layout>
      <c:pie3DChart>
        <c:varyColors val="1"/>
        <c:ser>
          <c:idx val="0"/>
          <c:order val="0"/>
          <c:tx>
            <c:strRef>
              <c:f>LITL!$B$1</c:f>
              <c:strCache>
                <c:ptCount val="1"/>
                <c:pt idx="0">
                  <c:v>Labrador - Island Transmission Link Annual Opex</c:v>
                </c:pt>
              </c:strCache>
            </c:strRef>
          </c:tx>
          <c:dLbls>
            <c:dLbl>
              <c:idx val="0"/>
              <c:layout>
                <c:manualLayout>
                  <c:x val="-0.18180577427821523"/>
                  <c:y val="0.10272192291753005"/>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1.9439081277086738E-3"/>
                  <c:y val="9.2600241795473701E-2"/>
                </c:manualLayout>
              </c:layout>
              <c:showLegendKey val="0"/>
              <c:showVal val="1"/>
              <c:showCatName val="1"/>
              <c:showSerName val="0"/>
              <c:showPercent val="0"/>
              <c:showBubbleSize val="0"/>
              <c:extLst>
                <c:ext xmlns:c15="http://schemas.microsoft.com/office/drawing/2012/chart" uri="{CE6537A1-D6FC-4f65-9D91-7224C49458BB}"/>
              </c:extLst>
            </c:dLbl>
            <c:dLbl>
              <c:idx val="3"/>
              <c:layout>
                <c:manualLayout>
                  <c:x val="0.10387408142613989"/>
                  <c:y val="0"/>
                </c:manualLayout>
              </c:layout>
              <c:showLegendKey val="0"/>
              <c:showVal val="1"/>
              <c:showCatName val="1"/>
              <c:showSerName val="0"/>
              <c:showPercent val="0"/>
              <c:showBubbleSize val="0"/>
              <c:extLst>
                <c:ext xmlns:c15="http://schemas.microsoft.com/office/drawing/2012/chart" uri="{CE6537A1-D6FC-4f65-9D91-7224C49458BB}"/>
              </c:extLst>
            </c:dLbl>
            <c:dLbl>
              <c:idx val="4"/>
              <c:layout>
                <c:manualLayout>
                  <c:x val="0.23601264921081427"/>
                  <c:y val="-0.22907534886483588"/>
                </c:manualLayout>
              </c:layout>
              <c:showLegendKey val="0"/>
              <c:showVal val="1"/>
              <c:showCatName val="1"/>
              <c:showSerName val="0"/>
              <c:showPercent val="0"/>
              <c:showBubbleSize val="0"/>
              <c:extLst>
                <c:ext xmlns:c15="http://schemas.microsoft.com/office/drawing/2012/chart" uri="{CE6537A1-D6FC-4f65-9D91-7224C49458BB}"/>
              </c:extLst>
            </c:dLbl>
            <c:dLbl>
              <c:idx val="5"/>
              <c:layout>
                <c:manualLayout>
                  <c:x val="-2.8827596070192831E-2"/>
                  <c:y val="-4.1388356446621234E-2"/>
                </c:manualLayout>
              </c:layout>
              <c:showLegendKey val="0"/>
              <c:showVal val="1"/>
              <c:showCatName val="1"/>
              <c:showSerName val="0"/>
              <c:showPercent val="0"/>
              <c:showBubbleSize val="0"/>
              <c:extLst>
                <c:ext xmlns:c15="http://schemas.microsoft.com/office/drawing/2012/chart" uri="{CE6537A1-D6FC-4f65-9D91-7224C49458BB}"/>
              </c:extLst>
            </c:dLbl>
            <c:dLbl>
              <c:idx val="6"/>
              <c:layout>
                <c:manualLayout>
                  <c:x val="1.3856540714075785E-2"/>
                  <c:y val="-1.974704283145717E-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2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LITL!$K$28:$K$34</c:f>
              <c:strCache>
                <c:ptCount val="7"/>
                <c:pt idx="0">
                  <c:v>Staff</c:v>
                </c:pt>
                <c:pt idx="1">
                  <c:v>Vehicles</c:v>
                </c:pt>
                <c:pt idx="2">
                  <c:v>Service Contracts</c:v>
                </c:pt>
                <c:pt idx="3">
                  <c:v>Submarine Cable/Sea Electrodes</c:v>
                </c:pt>
                <c:pt idx="4">
                  <c:v>Misc Expenses</c:v>
                </c:pt>
                <c:pt idx="5">
                  <c:v>Corporate &amp; ECC</c:v>
                </c:pt>
                <c:pt idx="6">
                  <c:v>Contingency</c:v>
                </c:pt>
              </c:strCache>
            </c:strRef>
          </c:cat>
          <c:val>
            <c:numRef>
              <c:f>LITL!$L$28:$L$34</c:f>
              <c:numCache>
                <c:formatCode>_("$"* #,##0_);_("$"* \(#,##0\);_("$"* "-"_);_(@_)</c:formatCode>
                <c:ptCount val="7"/>
                <c:pt idx="0">
                  <c:v>3741400</c:v>
                </c:pt>
                <c:pt idx="1">
                  <c:v>415325</c:v>
                </c:pt>
                <c:pt idx="2">
                  <c:v>1879045.7142857143</c:v>
                </c:pt>
                <c:pt idx="3">
                  <c:v>400000</c:v>
                </c:pt>
                <c:pt idx="4">
                  <c:v>4761064</c:v>
                </c:pt>
                <c:pt idx="5">
                  <c:v>1546764.0185</c:v>
                </c:pt>
                <c:pt idx="6">
                  <c:v>1679525.2071428571</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view3D>
      <c:rotX val="30"/>
      <c:rotY val="0"/>
      <c:rAngAx val="0"/>
    </c:view3D>
    <c:floor>
      <c:thickness val="0"/>
    </c:floor>
    <c:sideWall>
      <c:thickness val="0"/>
    </c:sideWall>
    <c:backWall>
      <c:thickness val="0"/>
    </c:backWall>
    <c:plotArea>
      <c:layout>
        <c:manualLayout>
          <c:layoutTarget val="inner"/>
          <c:xMode val="edge"/>
          <c:yMode val="edge"/>
          <c:x val="7.202264774140546E-2"/>
          <c:y val="0.21611258885647053"/>
          <c:w val="0.79744010364089102"/>
          <c:h val="0.68278322993806428"/>
        </c:manualLayout>
      </c:layout>
      <c:pie3DChart>
        <c:varyColors val="1"/>
        <c:ser>
          <c:idx val="0"/>
          <c:order val="0"/>
          <c:tx>
            <c:strRef>
              <c:f>'Corporate Support'!$B$1</c:f>
              <c:strCache>
                <c:ptCount val="1"/>
                <c:pt idx="0">
                  <c:v>Corporate Support Annual Overhead</c:v>
                </c:pt>
              </c:strCache>
            </c:strRef>
          </c:tx>
          <c:dLbls>
            <c:dLbl>
              <c:idx val="0"/>
              <c:layout>
                <c:manualLayout>
                  <c:x val="-0.25863246618093716"/>
                  <c:y val="-0.11057415009188611"/>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0.13843747896897504"/>
                  <c:y val="0.10574306423520881"/>
                </c:manualLayout>
              </c:layout>
              <c:showLegendKey val="0"/>
              <c:showVal val="1"/>
              <c:showCatName val="1"/>
              <c:showSerName val="0"/>
              <c:showPercent val="0"/>
              <c:showBubbleSize val="0"/>
              <c:extLst>
                <c:ext xmlns:c15="http://schemas.microsoft.com/office/drawing/2012/chart" uri="{CE6537A1-D6FC-4f65-9D91-7224C49458BB}"/>
              </c:extLst>
            </c:dLbl>
            <c:dLbl>
              <c:idx val="2"/>
              <c:layout>
                <c:manualLayout>
                  <c:x val="-0.17307692307692307"/>
                  <c:y val="1.3561977583466223E-2"/>
                </c:manualLayout>
              </c:layout>
              <c:showLegendKey val="0"/>
              <c:showVal val="1"/>
              <c:showCatName val="1"/>
              <c:showSerName val="0"/>
              <c:showPercent val="0"/>
              <c:showBubbleSize val="0"/>
              <c:extLst>
                <c:ext xmlns:c15="http://schemas.microsoft.com/office/drawing/2012/chart" uri="{CE6537A1-D6FC-4f65-9D91-7224C49458BB}"/>
              </c:extLst>
            </c:dLbl>
            <c:dLbl>
              <c:idx val="3"/>
              <c:layout>
                <c:manualLayout>
                  <c:x val="-0.18873847499831745"/>
                  <c:y val="-0.30945439241863804"/>
                </c:manualLayout>
              </c:layout>
              <c:showLegendKey val="0"/>
              <c:showVal val="1"/>
              <c:showCatName val="1"/>
              <c:showSerName val="0"/>
              <c:showPercent val="0"/>
              <c:showBubbleSize val="0"/>
              <c:extLst>
                <c:ext xmlns:c15="http://schemas.microsoft.com/office/drawing/2012/chart" uri="{CE6537A1-D6FC-4f65-9D91-7224C49458BB}"/>
              </c:extLst>
            </c:dLbl>
            <c:dLbl>
              <c:idx val="4"/>
              <c:layout>
                <c:manualLayout>
                  <c:x val="0.16259076990376203"/>
                  <c:y val="4.5173549402825773E-2"/>
                </c:manualLayout>
              </c:layout>
              <c:showLegendKey val="0"/>
              <c:showVal val="1"/>
              <c:showCatName val="1"/>
              <c:showSerName val="0"/>
              <c:showPercent val="0"/>
              <c:showBubbleSize val="0"/>
              <c:extLst>
                <c:ext xmlns:c15="http://schemas.microsoft.com/office/drawing/2012/chart" uri="{CE6537A1-D6FC-4f65-9D91-7224C49458BB}"/>
              </c:extLst>
            </c:dLbl>
            <c:dLbl>
              <c:idx val="5"/>
              <c:layout>
                <c:manualLayout>
                  <c:x val="0.27891463086344975"/>
                  <c:y val="-0.28470716680963892"/>
                </c:manualLayout>
              </c:layout>
              <c:showLegendKey val="0"/>
              <c:showVal val="1"/>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100" b="1"/>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'Corporate Support'!$B$31:$B$35</c:f>
              <c:strCache>
                <c:ptCount val="5"/>
                <c:pt idx="0">
                  <c:v>B. Removed by Rob Henderson after discussion with Jim Meaney and reflection of the NLH PPA arrangement</c:v>
                </c:pt>
                <c:pt idx="1">
                  <c:v>IS Support</c:v>
                </c:pt>
                <c:pt idx="2">
                  <c:v>Liability Insurance Premiums</c:v>
                </c:pt>
                <c:pt idx="3">
                  <c:v>Project Execution and Technical Services</c:v>
                </c:pt>
                <c:pt idx="4">
                  <c:v>Finance</c:v>
                </c:pt>
              </c:strCache>
            </c:strRef>
          </c:cat>
          <c:val>
            <c:numRef>
              <c:f>'Corporate Support'!$C$31:$C$35</c:f>
              <c:numCache>
                <c:formatCode>"$"#,##0</c:formatCode>
                <c:ptCount val="5"/>
                <c:pt idx="1">
                  <c:v>273000</c:v>
                </c:pt>
                <c:pt idx="2">
                  <c:v>200000</c:v>
                </c:pt>
                <c:pt idx="3">
                  <c:v>370500</c:v>
                </c:pt>
                <c:pt idx="4">
                  <c:v>682500</c:v>
                </c:pt>
              </c:numCache>
            </c:numRef>
          </c:val>
        </c:ser>
        <c:dLbls>
          <c:showLegendKey val="0"/>
          <c:showVal val="0"/>
          <c:showCatName val="0"/>
          <c:showSerName val="0"/>
          <c:showPercent val="0"/>
          <c:showBubbleSize val="0"/>
          <c:showLeaderLines val="1"/>
        </c:dLbls>
      </c:pie3DChart>
    </c:plotArea>
    <c:plotVisOnly val="1"/>
    <c:dispBlanksAs val="gap"/>
    <c:showDLblsOverMax val="0"/>
  </c:chart>
  <c:spPr>
    <a:gradFill>
      <a:gsLst>
        <a:gs pos="0">
          <a:srgbClr val="FFFF99"/>
        </a:gs>
        <a:gs pos="50000">
          <a:schemeClr val="bg1"/>
        </a:gs>
        <a:gs pos="100000">
          <a:schemeClr val="bg1"/>
        </a:gs>
      </a:gsLst>
      <a:lin ang="5400000" scaled="0"/>
    </a:gradFill>
    <a:ln>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MF,</a:t>
            </a:r>
            <a:r>
              <a:rPr lang="en-US" baseline="0"/>
              <a:t> LTA &amp; LITL </a:t>
            </a:r>
            <a:r>
              <a:rPr lang="en-US"/>
              <a:t>Annual O&amp;M</a:t>
            </a:r>
            <a:r>
              <a:rPr lang="en-US" baseline="0"/>
              <a:t> Expenditure Profile - Years 1 to 50 (Jan 2012 CDN $)</a:t>
            </a:r>
          </a:p>
        </c:rich>
      </c:tx>
      <c:overlay val="0"/>
    </c:title>
    <c:autoTitleDeleted val="0"/>
    <c:plotArea>
      <c:layout>
        <c:manualLayout>
          <c:layoutTarget val="inner"/>
          <c:xMode val="edge"/>
          <c:yMode val="edge"/>
          <c:x val="2.2369183979752707E-2"/>
          <c:y val="0.17810607007457402"/>
          <c:w val="0.97739747045458925"/>
          <c:h val="0.71585518476857057"/>
        </c:manualLayout>
      </c:layout>
      <c:barChart>
        <c:barDir val="col"/>
        <c:grouping val="clustered"/>
        <c:varyColors val="0"/>
        <c:ser>
          <c:idx val="0"/>
          <c:order val="0"/>
          <c:tx>
            <c:v>Annual OPEX</c:v>
          </c:tx>
          <c:invertIfNegative val="0"/>
          <c:cat>
            <c:numRef>
              <c:f>'Cost Curve'!$C$20:$AZ$20</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cat>
          <c:val>
            <c:numRef>
              <c:f>'Cost Curve'!$C$24:$AZ$24</c:f>
              <c:numCache>
                <c:formatCode>_("$"* #,##0_);_("$"* \(#,##0\);_("$"* "-"_);_(@_)</c:formatCode>
                <c:ptCount val="50"/>
                <c:pt idx="0">
                  <c:v>24464008.71309524</c:v>
                </c:pt>
                <c:pt idx="1">
                  <c:v>24464008.71309524</c:v>
                </c:pt>
                <c:pt idx="2">
                  <c:v>23116508.71309524</c:v>
                </c:pt>
                <c:pt idx="3">
                  <c:v>24364008.71309524</c:v>
                </c:pt>
                <c:pt idx="4">
                  <c:v>23116508.71309524</c:v>
                </c:pt>
                <c:pt idx="5">
                  <c:v>24364008.71309524</c:v>
                </c:pt>
                <c:pt idx="6">
                  <c:v>23116508.71309524</c:v>
                </c:pt>
                <c:pt idx="7">
                  <c:v>24364008.71309524</c:v>
                </c:pt>
                <c:pt idx="8">
                  <c:v>23116508.71309524</c:v>
                </c:pt>
                <c:pt idx="9">
                  <c:v>24564008.71309524</c:v>
                </c:pt>
                <c:pt idx="10">
                  <c:v>23116508.71309524</c:v>
                </c:pt>
                <c:pt idx="11">
                  <c:v>24364008.71309524</c:v>
                </c:pt>
                <c:pt idx="12">
                  <c:v>23116508.71309524</c:v>
                </c:pt>
                <c:pt idx="13">
                  <c:v>23116508.71309524</c:v>
                </c:pt>
                <c:pt idx="14">
                  <c:v>23116508.71309524</c:v>
                </c:pt>
                <c:pt idx="15">
                  <c:v>23116508.71309524</c:v>
                </c:pt>
                <c:pt idx="16">
                  <c:v>24364008.71309524</c:v>
                </c:pt>
                <c:pt idx="17">
                  <c:v>23116508.71309524</c:v>
                </c:pt>
                <c:pt idx="18">
                  <c:v>23116508.71309524</c:v>
                </c:pt>
                <c:pt idx="19">
                  <c:v>23316508.71309524</c:v>
                </c:pt>
                <c:pt idx="20">
                  <c:v>23116508.71309524</c:v>
                </c:pt>
                <c:pt idx="21">
                  <c:v>24364008.71309524</c:v>
                </c:pt>
                <c:pt idx="22">
                  <c:v>23116508.71309524</c:v>
                </c:pt>
                <c:pt idx="23">
                  <c:v>23116508.71309524</c:v>
                </c:pt>
                <c:pt idx="24">
                  <c:v>23116508.71309524</c:v>
                </c:pt>
                <c:pt idx="25">
                  <c:v>23116508.71309524</c:v>
                </c:pt>
                <c:pt idx="26">
                  <c:v>24364008.71309524</c:v>
                </c:pt>
                <c:pt idx="27">
                  <c:v>23116508.71309524</c:v>
                </c:pt>
                <c:pt idx="28">
                  <c:v>23116508.71309524</c:v>
                </c:pt>
                <c:pt idx="29">
                  <c:v>23316508.71309524</c:v>
                </c:pt>
                <c:pt idx="30">
                  <c:v>23116508.71309524</c:v>
                </c:pt>
                <c:pt idx="31">
                  <c:v>24364008.71309524</c:v>
                </c:pt>
                <c:pt idx="32">
                  <c:v>23116508.71309524</c:v>
                </c:pt>
                <c:pt idx="33">
                  <c:v>23116508.71309524</c:v>
                </c:pt>
                <c:pt idx="34">
                  <c:v>23116508.71309524</c:v>
                </c:pt>
                <c:pt idx="35">
                  <c:v>23116508.71309524</c:v>
                </c:pt>
                <c:pt idx="36">
                  <c:v>24364008.71309524</c:v>
                </c:pt>
                <c:pt idx="37">
                  <c:v>23116508.71309524</c:v>
                </c:pt>
                <c:pt idx="38">
                  <c:v>23116508.71309524</c:v>
                </c:pt>
                <c:pt idx="39">
                  <c:v>23316508.71309524</c:v>
                </c:pt>
                <c:pt idx="40">
                  <c:v>23116508.71309524</c:v>
                </c:pt>
                <c:pt idx="41">
                  <c:v>24364008.71309524</c:v>
                </c:pt>
                <c:pt idx="42">
                  <c:v>23116508.71309524</c:v>
                </c:pt>
                <c:pt idx="43">
                  <c:v>23116508.71309524</c:v>
                </c:pt>
                <c:pt idx="44">
                  <c:v>23116508.71309524</c:v>
                </c:pt>
                <c:pt idx="45">
                  <c:v>23116508.71309524</c:v>
                </c:pt>
                <c:pt idx="46">
                  <c:v>24364008.71309524</c:v>
                </c:pt>
                <c:pt idx="47">
                  <c:v>23116508.71309524</c:v>
                </c:pt>
                <c:pt idx="48">
                  <c:v>23116508.71309524</c:v>
                </c:pt>
                <c:pt idx="49">
                  <c:v>23316508.71309524</c:v>
                </c:pt>
              </c:numCache>
            </c:numRef>
          </c:val>
        </c:ser>
        <c:dLbls>
          <c:showLegendKey val="0"/>
          <c:showVal val="0"/>
          <c:showCatName val="0"/>
          <c:showSerName val="0"/>
          <c:showPercent val="0"/>
          <c:showBubbleSize val="0"/>
        </c:dLbls>
        <c:gapWidth val="150"/>
        <c:axId val="458212768"/>
        <c:axId val="459600176"/>
      </c:barChart>
      <c:catAx>
        <c:axId val="458212768"/>
        <c:scaling>
          <c:orientation val="minMax"/>
        </c:scaling>
        <c:delete val="0"/>
        <c:axPos val="b"/>
        <c:numFmt formatCode="General" sourceLinked="1"/>
        <c:majorTickMark val="out"/>
        <c:minorTickMark val="none"/>
        <c:tickLblPos val="nextTo"/>
        <c:crossAx val="459600176"/>
        <c:crosses val="autoZero"/>
        <c:auto val="1"/>
        <c:lblAlgn val="ctr"/>
        <c:lblOffset val="100"/>
        <c:noMultiLvlLbl val="0"/>
      </c:catAx>
      <c:valAx>
        <c:axId val="459600176"/>
        <c:scaling>
          <c:orientation val="minMax"/>
          <c:min val="0"/>
        </c:scaling>
        <c:delete val="0"/>
        <c:axPos val="l"/>
        <c:majorGridlines/>
        <c:numFmt formatCode="_(&quot;$&quot;* #,##0_);_(&quot;$&quot;* \(#,##0\);_(&quot;$&quot;* &quot;-&quot;_);_(@_)" sourceLinked="1"/>
        <c:majorTickMark val="out"/>
        <c:minorTickMark val="none"/>
        <c:tickLblPos val="nextTo"/>
        <c:crossAx val="45821276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123607</xdr:colOff>
      <xdr:row>0</xdr:row>
      <xdr:rowOff>164942</xdr:rowOff>
    </xdr:from>
    <xdr:to>
      <xdr:col>9</xdr:col>
      <xdr:colOff>80635</xdr:colOff>
      <xdr:row>14</xdr:row>
      <xdr:rowOff>145421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123607</xdr:colOff>
      <xdr:row>0</xdr:row>
      <xdr:rowOff>164942</xdr:rowOff>
    </xdr:from>
    <xdr:to>
      <xdr:col>9</xdr:col>
      <xdr:colOff>80635</xdr:colOff>
      <xdr:row>14</xdr:row>
      <xdr:rowOff>145421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95249</xdr:colOff>
      <xdr:row>2</xdr:row>
      <xdr:rowOff>76200</xdr:rowOff>
    </xdr:from>
    <xdr:to>
      <xdr:col>19</xdr:col>
      <xdr:colOff>514349</xdr:colOff>
      <xdr:row>24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295275</xdr:colOff>
      <xdr:row>2</xdr:row>
      <xdr:rowOff>9525</xdr:rowOff>
    </xdr:from>
    <xdr:to>
      <xdr:col>16</xdr:col>
      <xdr:colOff>400050</xdr:colOff>
      <xdr:row>24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85725</xdr:rowOff>
    </xdr:from>
    <xdr:to>
      <xdr:col>15</xdr:col>
      <xdr:colOff>0</xdr:colOff>
      <xdr:row>24</xdr:row>
      <xdr:rowOff>276225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161925</xdr:colOff>
      <xdr:row>0</xdr:row>
      <xdr:rowOff>84666</xdr:rowOff>
    </xdr:from>
    <xdr:to>
      <xdr:col>12</xdr:col>
      <xdr:colOff>552450</xdr:colOff>
      <xdr:row>20</xdr:row>
      <xdr:rowOff>123826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9526</xdr:colOff>
      <xdr:row>0</xdr:row>
      <xdr:rowOff>0</xdr:rowOff>
    </xdr:from>
    <xdr:to>
      <xdr:col>52</xdr:col>
      <xdr:colOff>590550</xdr:colOff>
      <xdr:row>18</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68686"/>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zoomScaleNormal="100" workbookViewId="0">
      <selection activeCell="B3" sqref="B3:O48"/>
    </sheetView>
  </sheetViews>
  <sheetFormatPr defaultRowHeight="12.75" x14ac:dyDescent="0.2"/>
  <cols>
    <col min="1" max="1" width="3.42578125" customWidth="1"/>
    <col min="14" max="14" width="9.140625" customWidth="1"/>
    <col min="15" max="15" width="17.85546875" hidden="1" customWidth="1"/>
  </cols>
  <sheetData>
    <row r="1" spans="1:15" s="280" customFormat="1" ht="23.25" x14ac:dyDescent="0.35">
      <c r="A1" s="279"/>
      <c r="B1" s="276" t="s">
        <v>370</v>
      </c>
      <c r="D1" s="279"/>
      <c r="E1" s="279"/>
      <c r="F1" s="279"/>
      <c r="G1" s="279"/>
      <c r="H1" s="279"/>
      <c r="I1" s="279"/>
      <c r="J1" s="279"/>
      <c r="K1" s="279"/>
      <c r="L1" s="279"/>
      <c r="M1" s="279"/>
      <c r="N1" s="279"/>
      <c r="O1" s="279"/>
    </row>
    <row r="2" spans="1:15" x14ac:dyDescent="0.2">
      <c r="A2" s="250"/>
      <c r="B2" s="250"/>
      <c r="C2" s="250"/>
      <c r="D2" s="250"/>
      <c r="E2" s="250"/>
      <c r="F2" s="250"/>
      <c r="G2" s="250"/>
      <c r="H2" s="250"/>
      <c r="I2" s="250"/>
      <c r="J2" s="250"/>
      <c r="K2" s="250"/>
      <c r="L2" s="250"/>
      <c r="M2" s="250"/>
      <c r="N2" s="250"/>
      <c r="O2" s="250"/>
    </row>
    <row r="3" spans="1:15" ht="18" customHeight="1" x14ac:dyDescent="0.2">
      <c r="A3" s="250"/>
      <c r="B3" s="298" t="s">
        <v>395</v>
      </c>
      <c r="C3" s="299"/>
      <c r="D3" s="299"/>
      <c r="E3" s="299"/>
      <c r="F3" s="299"/>
      <c r="G3" s="299"/>
      <c r="H3" s="299"/>
      <c r="I3" s="299"/>
      <c r="J3" s="299"/>
      <c r="K3" s="299"/>
      <c r="L3" s="299"/>
      <c r="M3" s="299"/>
      <c r="N3" s="299"/>
      <c r="O3" s="299"/>
    </row>
    <row r="4" spans="1:15" x14ac:dyDescent="0.2">
      <c r="A4" s="250"/>
      <c r="B4" s="299"/>
      <c r="C4" s="299"/>
      <c r="D4" s="299"/>
      <c r="E4" s="299"/>
      <c r="F4" s="299"/>
      <c r="G4" s="299"/>
      <c r="H4" s="299"/>
      <c r="I4" s="299"/>
      <c r="J4" s="299"/>
      <c r="K4" s="299"/>
      <c r="L4" s="299"/>
      <c r="M4" s="299"/>
      <c r="N4" s="299"/>
      <c r="O4" s="299"/>
    </row>
    <row r="5" spans="1:15" x14ac:dyDescent="0.2">
      <c r="A5" s="250"/>
      <c r="B5" s="299"/>
      <c r="C5" s="299"/>
      <c r="D5" s="299"/>
      <c r="E5" s="299"/>
      <c r="F5" s="299"/>
      <c r="G5" s="299"/>
      <c r="H5" s="299"/>
      <c r="I5" s="299"/>
      <c r="J5" s="299"/>
      <c r="K5" s="299"/>
      <c r="L5" s="299"/>
      <c r="M5" s="299"/>
      <c r="N5" s="299"/>
      <c r="O5" s="299"/>
    </row>
    <row r="6" spans="1:15" x14ac:dyDescent="0.2">
      <c r="A6" s="250"/>
      <c r="B6" s="299"/>
      <c r="C6" s="299"/>
      <c r="D6" s="299"/>
      <c r="E6" s="299"/>
      <c r="F6" s="299"/>
      <c r="G6" s="299"/>
      <c r="H6" s="299"/>
      <c r="I6" s="299"/>
      <c r="J6" s="299"/>
      <c r="K6" s="299"/>
      <c r="L6" s="299"/>
      <c r="M6" s="299"/>
      <c r="N6" s="299"/>
      <c r="O6" s="299"/>
    </row>
    <row r="7" spans="1:15" x14ac:dyDescent="0.2">
      <c r="A7" s="250"/>
      <c r="B7" s="299"/>
      <c r="C7" s="299"/>
      <c r="D7" s="299"/>
      <c r="E7" s="299"/>
      <c r="F7" s="299"/>
      <c r="G7" s="299"/>
      <c r="H7" s="299"/>
      <c r="I7" s="299"/>
      <c r="J7" s="299"/>
      <c r="K7" s="299"/>
      <c r="L7" s="299"/>
      <c r="M7" s="299"/>
      <c r="N7" s="299"/>
      <c r="O7" s="299"/>
    </row>
    <row r="8" spans="1:15" x14ac:dyDescent="0.2">
      <c r="A8" s="250"/>
      <c r="B8" s="299"/>
      <c r="C8" s="299"/>
      <c r="D8" s="299"/>
      <c r="E8" s="299"/>
      <c r="F8" s="299"/>
      <c r="G8" s="299"/>
      <c r="H8" s="299"/>
      <c r="I8" s="299"/>
      <c r="J8" s="299"/>
      <c r="K8" s="299"/>
      <c r="L8" s="299"/>
      <c r="M8" s="299"/>
      <c r="N8" s="299"/>
      <c r="O8" s="299"/>
    </row>
    <row r="9" spans="1:15" x14ac:dyDescent="0.2">
      <c r="A9" s="250"/>
      <c r="B9" s="299"/>
      <c r="C9" s="299"/>
      <c r="D9" s="299"/>
      <c r="E9" s="299"/>
      <c r="F9" s="299"/>
      <c r="G9" s="299"/>
      <c r="H9" s="299"/>
      <c r="I9" s="299"/>
      <c r="J9" s="299"/>
      <c r="K9" s="299"/>
      <c r="L9" s="299"/>
      <c r="M9" s="299"/>
      <c r="N9" s="299"/>
      <c r="O9" s="299"/>
    </row>
    <row r="10" spans="1:15" x14ac:dyDescent="0.2">
      <c r="A10" s="250"/>
      <c r="B10" s="299"/>
      <c r="C10" s="299"/>
      <c r="D10" s="299"/>
      <c r="E10" s="299"/>
      <c r="F10" s="299"/>
      <c r="G10" s="299"/>
      <c r="H10" s="299"/>
      <c r="I10" s="299"/>
      <c r="J10" s="299"/>
      <c r="K10" s="299"/>
      <c r="L10" s="299"/>
      <c r="M10" s="299"/>
      <c r="N10" s="299"/>
      <c r="O10" s="299"/>
    </row>
    <row r="11" spans="1:15" x14ac:dyDescent="0.2">
      <c r="A11" s="250"/>
      <c r="B11" s="299"/>
      <c r="C11" s="299"/>
      <c r="D11" s="299"/>
      <c r="E11" s="299"/>
      <c r="F11" s="299"/>
      <c r="G11" s="299"/>
      <c r="H11" s="299"/>
      <c r="I11" s="299"/>
      <c r="J11" s="299"/>
      <c r="K11" s="299"/>
      <c r="L11" s="299"/>
      <c r="M11" s="299"/>
      <c r="N11" s="299"/>
      <c r="O11" s="299"/>
    </row>
    <row r="12" spans="1:15" x14ac:dyDescent="0.2">
      <c r="A12" s="250"/>
      <c r="B12" s="299"/>
      <c r="C12" s="299"/>
      <c r="D12" s="299"/>
      <c r="E12" s="299"/>
      <c r="F12" s="299"/>
      <c r="G12" s="299"/>
      <c r="H12" s="299"/>
      <c r="I12" s="299"/>
      <c r="J12" s="299"/>
      <c r="K12" s="299"/>
      <c r="L12" s="299"/>
      <c r="M12" s="299"/>
      <c r="N12" s="299"/>
      <c r="O12" s="299"/>
    </row>
    <row r="13" spans="1:15" x14ac:dyDescent="0.2">
      <c r="A13" s="250"/>
      <c r="B13" s="299"/>
      <c r="C13" s="299"/>
      <c r="D13" s="299"/>
      <c r="E13" s="299"/>
      <c r="F13" s="299"/>
      <c r="G13" s="299"/>
      <c r="H13" s="299"/>
      <c r="I13" s="299"/>
      <c r="J13" s="299"/>
      <c r="K13" s="299"/>
      <c r="L13" s="299"/>
      <c r="M13" s="299"/>
      <c r="N13" s="299"/>
      <c r="O13" s="299"/>
    </row>
    <row r="14" spans="1:15" x14ac:dyDescent="0.2">
      <c r="A14" s="250"/>
      <c r="B14" s="299"/>
      <c r="C14" s="299"/>
      <c r="D14" s="299"/>
      <c r="E14" s="299"/>
      <c r="F14" s="299"/>
      <c r="G14" s="299"/>
      <c r="H14" s="299"/>
      <c r="I14" s="299"/>
      <c r="J14" s="299"/>
      <c r="K14" s="299"/>
      <c r="L14" s="299"/>
      <c r="M14" s="299"/>
      <c r="N14" s="299"/>
      <c r="O14" s="299"/>
    </row>
    <row r="15" spans="1:15" x14ac:dyDescent="0.2">
      <c r="A15" s="250"/>
      <c r="B15" s="299"/>
      <c r="C15" s="299"/>
      <c r="D15" s="299"/>
      <c r="E15" s="299"/>
      <c r="F15" s="299"/>
      <c r="G15" s="299"/>
      <c r="H15" s="299"/>
      <c r="I15" s="299"/>
      <c r="J15" s="299"/>
      <c r="K15" s="299"/>
      <c r="L15" s="299"/>
      <c r="M15" s="299"/>
      <c r="N15" s="299"/>
      <c r="O15" s="299"/>
    </row>
    <row r="16" spans="1:15" x14ac:dyDescent="0.2">
      <c r="A16" s="250"/>
      <c r="B16" s="299"/>
      <c r="C16" s="299"/>
      <c r="D16" s="299"/>
      <c r="E16" s="299"/>
      <c r="F16" s="299"/>
      <c r="G16" s="299"/>
      <c r="H16" s="299"/>
      <c r="I16" s="299"/>
      <c r="J16" s="299"/>
      <c r="K16" s="299"/>
      <c r="L16" s="299"/>
      <c r="M16" s="299"/>
      <c r="N16" s="299"/>
      <c r="O16" s="299"/>
    </row>
    <row r="17" spans="1:15" x14ac:dyDescent="0.2">
      <c r="A17" s="250"/>
      <c r="B17" s="299"/>
      <c r="C17" s="299"/>
      <c r="D17" s="299"/>
      <c r="E17" s="299"/>
      <c r="F17" s="299"/>
      <c r="G17" s="299"/>
      <c r="H17" s="299"/>
      <c r="I17" s="299"/>
      <c r="J17" s="299"/>
      <c r="K17" s="299"/>
      <c r="L17" s="299"/>
      <c r="M17" s="299"/>
      <c r="N17" s="299"/>
      <c r="O17" s="299"/>
    </row>
    <row r="18" spans="1:15" x14ac:dyDescent="0.2">
      <c r="A18" s="250"/>
      <c r="B18" s="299"/>
      <c r="C18" s="299"/>
      <c r="D18" s="299"/>
      <c r="E18" s="299"/>
      <c r="F18" s="299"/>
      <c r="G18" s="299"/>
      <c r="H18" s="299"/>
      <c r="I18" s="299"/>
      <c r="J18" s="299"/>
      <c r="K18" s="299"/>
      <c r="L18" s="299"/>
      <c r="M18" s="299"/>
      <c r="N18" s="299"/>
      <c r="O18" s="299"/>
    </row>
    <row r="19" spans="1:15" x14ac:dyDescent="0.2">
      <c r="A19" s="250"/>
      <c r="B19" s="299"/>
      <c r="C19" s="299"/>
      <c r="D19" s="299"/>
      <c r="E19" s="299"/>
      <c r="F19" s="299"/>
      <c r="G19" s="299"/>
      <c r="H19" s="299"/>
      <c r="I19" s="299"/>
      <c r="J19" s="299"/>
      <c r="K19" s="299"/>
      <c r="L19" s="299"/>
      <c r="M19" s="299"/>
      <c r="N19" s="299"/>
      <c r="O19" s="299"/>
    </row>
    <row r="20" spans="1:15" x14ac:dyDescent="0.2">
      <c r="A20" s="250"/>
      <c r="B20" s="299"/>
      <c r="C20" s="299"/>
      <c r="D20" s="299"/>
      <c r="E20" s="299"/>
      <c r="F20" s="299"/>
      <c r="G20" s="299"/>
      <c r="H20" s="299"/>
      <c r="I20" s="299"/>
      <c r="J20" s="299"/>
      <c r="K20" s="299"/>
      <c r="L20" s="299"/>
      <c r="M20" s="299"/>
      <c r="N20" s="299"/>
      <c r="O20" s="299"/>
    </row>
    <row r="21" spans="1:15" x14ac:dyDescent="0.2">
      <c r="A21" s="250"/>
      <c r="B21" s="299"/>
      <c r="C21" s="299"/>
      <c r="D21" s="299"/>
      <c r="E21" s="299"/>
      <c r="F21" s="299"/>
      <c r="G21" s="299"/>
      <c r="H21" s="299"/>
      <c r="I21" s="299"/>
      <c r="J21" s="299"/>
      <c r="K21" s="299"/>
      <c r="L21" s="299"/>
      <c r="M21" s="299"/>
      <c r="N21" s="299"/>
      <c r="O21" s="299"/>
    </row>
    <row r="22" spans="1:15" x14ac:dyDescent="0.2">
      <c r="A22" s="250"/>
      <c r="B22" s="299"/>
      <c r="C22" s="299"/>
      <c r="D22" s="299"/>
      <c r="E22" s="299"/>
      <c r="F22" s="299"/>
      <c r="G22" s="299"/>
      <c r="H22" s="299"/>
      <c r="I22" s="299"/>
      <c r="J22" s="299"/>
      <c r="K22" s="299"/>
      <c r="L22" s="299"/>
      <c r="M22" s="299"/>
      <c r="N22" s="299"/>
      <c r="O22" s="299"/>
    </row>
    <row r="23" spans="1:15" x14ac:dyDescent="0.2">
      <c r="A23" s="250"/>
      <c r="B23" s="299"/>
      <c r="C23" s="299"/>
      <c r="D23" s="299"/>
      <c r="E23" s="299"/>
      <c r="F23" s="299"/>
      <c r="G23" s="299"/>
      <c r="H23" s="299"/>
      <c r="I23" s="299"/>
      <c r="J23" s="299"/>
      <c r="K23" s="299"/>
      <c r="L23" s="299"/>
      <c r="M23" s="299"/>
      <c r="N23" s="299"/>
      <c r="O23" s="299"/>
    </row>
    <row r="24" spans="1:15" x14ac:dyDescent="0.2">
      <c r="A24" s="250"/>
      <c r="B24" s="299"/>
      <c r="C24" s="299"/>
      <c r="D24" s="299"/>
      <c r="E24" s="299"/>
      <c r="F24" s="299"/>
      <c r="G24" s="299"/>
      <c r="H24" s="299"/>
      <c r="I24" s="299"/>
      <c r="J24" s="299"/>
      <c r="K24" s="299"/>
      <c r="L24" s="299"/>
      <c r="M24" s="299"/>
      <c r="N24" s="299"/>
      <c r="O24" s="299"/>
    </row>
    <row r="25" spans="1:15" x14ac:dyDescent="0.2">
      <c r="A25" s="250"/>
      <c r="B25" s="299"/>
      <c r="C25" s="299"/>
      <c r="D25" s="299"/>
      <c r="E25" s="299"/>
      <c r="F25" s="299"/>
      <c r="G25" s="299"/>
      <c r="H25" s="299"/>
      <c r="I25" s="299"/>
      <c r="J25" s="299"/>
      <c r="K25" s="299"/>
      <c r="L25" s="299"/>
      <c r="M25" s="299"/>
      <c r="N25" s="299"/>
      <c r="O25" s="299"/>
    </row>
    <row r="26" spans="1:15" x14ac:dyDescent="0.2">
      <c r="A26" s="250"/>
      <c r="B26" s="299"/>
      <c r="C26" s="299"/>
      <c r="D26" s="299"/>
      <c r="E26" s="299"/>
      <c r="F26" s="299"/>
      <c r="G26" s="299"/>
      <c r="H26" s="299"/>
      <c r="I26" s="299"/>
      <c r="J26" s="299"/>
      <c r="K26" s="299"/>
      <c r="L26" s="299"/>
      <c r="M26" s="299"/>
      <c r="N26" s="299"/>
      <c r="O26" s="299"/>
    </row>
    <row r="27" spans="1:15" x14ac:dyDescent="0.2">
      <c r="A27" s="250"/>
      <c r="B27" s="299"/>
      <c r="C27" s="299"/>
      <c r="D27" s="299"/>
      <c r="E27" s="299"/>
      <c r="F27" s="299"/>
      <c r="G27" s="299"/>
      <c r="H27" s="299"/>
      <c r="I27" s="299"/>
      <c r="J27" s="299"/>
      <c r="K27" s="299"/>
      <c r="L27" s="299"/>
      <c r="M27" s="299"/>
      <c r="N27" s="299"/>
      <c r="O27" s="299"/>
    </row>
    <row r="28" spans="1:15" x14ac:dyDescent="0.2">
      <c r="A28" s="250"/>
      <c r="B28" s="299"/>
      <c r="C28" s="299"/>
      <c r="D28" s="299"/>
      <c r="E28" s="299"/>
      <c r="F28" s="299"/>
      <c r="G28" s="299"/>
      <c r="H28" s="299"/>
      <c r="I28" s="299"/>
      <c r="J28" s="299"/>
      <c r="K28" s="299"/>
      <c r="L28" s="299"/>
      <c r="M28" s="299"/>
      <c r="N28" s="299"/>
      <c r="O28" s="299"/>
    </row>
    <row r="29" spans="1:15" x14ac:dyDescent="0.2">
      <c r="A29" s="250"/>
      <c r="B29" s="299"/>
      <c r="C29" s="299"/>
      <c r="D29" s="299"/>
      <c r="E29" s="299"/>
      <c r="F29" s="299"/>
      <c r="G29" s="299"/>
      <c r="H29" s="299"/>
      <c r="I29" s="299"/>
      <c r="J29" s="299"/>
      <c r="K29" s="299"/>
      <c r="L29" s="299"/>
      <c r="M29" s="299"/>
      <c r="N29" s="299"/>
      <c r="O29" s="299"/>
    </row>
    <row r="30" spans="1:15" x14ac:dyDescent="0.2">
      <c r="A30" s="250"/>
      <c r="B30" s="299"/>
      <c r="C30" s="299"/>
      <c r="D30" s="299"/>
      <c r="E30" s="299"/>
      <c r="F30" s="299"/>
      <c r="G30" s="299"/>
      <c r="H30" s="299"/>
      <c r="I30" s="299"/>
      <c r="J30" s="299"/>
      <c r="K30" s="299"/>
      <c r="L30" s="299"/>
      <c r="M30" s="299"/>
      <c r="N30" s="299"/>
      <c r="O30" s="299"/>
    </row>
    <row r="31" spans="1:15" x14ac:dyDescent="0.2">
      <c r="A31" s="250"/>
      <c r="B31" s="299"/>
      <c r="C31" s="299"/>
      <c r="D31" s="299"/>
      <c r="E31" s="299"/>
      <c r="F31" s="299"/>
      <c r="G31" s="299"/>
      <c r="H31" s="299"/>
      <c r="I31" s="299"/>
      <c r="J31" s="299"/>
      <c r="K31" s="299"/>
      <c r="L31" s="299"/>
      <c r="M31" s="299"/>
      <c r="N31" s="299"/>
      <c r="O31" s="299"/>
    </row>
    <row r="32" spans="1:15" x14ac:dyDescent="0.2">
      <c r="A32" s="250"/>
      <c r="B32" s="299"/>
      <c r="C32" s="299"/>
      <c r="D32" s="299"/>
      <c r="E32" s="299"/>
      <c r="F32" s="299"/>
      <c r="G32" s="299"/>
      <c r="H32" s="299"/>
      <c r="I32" s="299"/>
      <c r="J32" s="299"/>
      <c r="K32" s="299"/>
      <c r="L32" s="299"/>
      <c r="M32" s="299"/>
      <c r="N32" s="299"/>
      <c r="O32" s="299"/>
    </row>
    <row r="33" spans="1:15" x14ac:dyDescent="0.2">
      <c r="A33" s="250"/>
      <c r="B33" s="299"/>
      <c r="C33" s="299"/>
      <c r="D33" s="299"/>
      <c r="E33" s="299"/>
      <c r="F33" s="299"/>
      <c r="G33" s="299"/>
      <c r="H33" s="299"/>
      <c r="I33" s="299"/>
      <c r="J33" s="299"/>
      <c r="K33" s="299"/>
      <c r="L33" s="299"/>
      <c r="M33" s="299"/>
      <c r="N33" s="299"/>
      <c r="O33" s="299"/>
    </row>
    <row r="34" spans="1:15" x14ac:dyDescent="0.2">
      <c r="A34" s="250"/>
      <c r="B34" s="299"/>
      <c r="C34" s="299"/>
      <c r="D34" s="299"/>
      <c r="E34" s="299"/>
      <c r="F34" s="299"/>
      <c r="G34" s="299"/>
      <c r="H34" s="299"/>
      <c r="I34" s="299"/>
      <c r="J34" s="299"/>
      <c r="K34" s="299"/>
      <c r="L34" s="299"/>
      <c r="M34" s="299"/>
      <c r="N34" s="299"/>
      <c r="O34" s="299"/>
    </row>
    <row r="35" spans="1:15" x14ac:dyDescent="0.2">
      <c r="A35" s="250"/>
      <c r="B35" s="299"/>
      <c r="C35" s="299"/>
      <c r="D35" s="299"/>
      <c r="E35" s="299"/>
      <c r="F35" s="299"/>
      <c r="G35" s="299"/>
      <c r="H35" s="299"/>
      <c r="I35" s="299"/>
      <c r="J35" s="299"/>
      <c r="K35" s="299"/>
      <c r="L35" s="299"/>
      <c r="M35" s="299"/>
      <c r="N35" s="299"/>
      <c r="O35" s="299"/>
    </row>
    <row r="36" spans="1:15" x14ac:dyDescent="0.2">
      <c r="A36" s="250"/>
      <c r="B36" s="299"/>
      <c r="C36" s="299"/>
      <c r="D36" s="299"/>
      <c r="E36" s="299"/>
      <c r="F36" s="299"/>
      <c r="G36" s="299"/>
      <c r="H36" s="299"/>
      <c r="I36" s="299"/>
      <c r="J36" s="299"/>
      <c r="K36" s="299"/>
      <c r="L36" s="299"/>
      <c r="M36" s="299"/>
      <c r="N36" s="299"/>
      <c r="O36" s="299"/>
    </row>
    <row r="37" spans="1:15" x14ac:dyDescent="0.2">
      <c r="A37" s="250"/>
      <c r="B37" s="299"/>
      <c r="C37" s="299"/>
      <c r="D37" s="299"/>
      <c r="E37" s="299"/>
      <c r="F37" s="299"/>
      <c r="G37" s="299"/>
      <c r="H37" s="299"/>
      <c r="I37" s="299"/>
      <c r="J37" s="299"/>
      <c r="K37" s="299"/>
      <c r="L37" s="299"/>
      <c r="M37" s="299"/>
      <c r="N37" s="299"/>
      <c r="O37" s="299"/>
    </row>
    <row r="38" spans="1:15" x14ac:dyDescent="0.2">
      <c r="A38" s="250"/>
      <c r="B38" s="299"/>
      <c r="C38" s="299"/>
      <c r="D38" s="299"/>
      <c r="E38" s="299"/>
      <c r="F38" s="299"/>
      <c r="G38" s="299"/>
      <c r="H38" s="299"/>
      <c r="I38" s="299"/>
      <c r="J38" s="299"/>
      <c r="K38" s="299"/>
      <c r="L38" s="299"/>
      <c r="M38" s="299"/>
      <c r="N38" s="299"/>
      <c r="O38" s="299"/>
    </row>
    <row r="39" spans="1:15" x14ac:dyDescent="0.2">
      <c r="A39" s="250"/>
      <c r="B39" s="299"/>
      <c r="C39" s="299"/>
      <c r="D39" s="299"/>
      <c r="E39" s="299"/>
      <c r="F39" s="299"/>
      <c r="G39" s="299"/>
      <c r="H39" s="299"/>
      <c r="I39" s="299"/>
      <c r="J39" s="299"/>
      <c r="K39" s="299"/>
      <c r="L39" s="299"/>
      <c r="M39" s="299"/>
      <c r="N39" s="299"/>
      <c r="O39" s="299"/>
    </row>
    <row r="40" spans="1:15" x14ac:dyDescent="0.2">
      <c r="A40" s="250"/>
      <c r="B40" s="299"/>
      <c r="C40" s="299"/>
      <c r="D40" s="299"/>
      <c r="E40" s="299"/>
      <c r="F40" s="299"/>
      <c r="G40" s="299"/>
      <c r="H40" s="299"/>
      <c r="I40" s="299"/>
      <c r="J40" s="299"/>
      <c r="K40" s="299"/>
      <c r="L40" s="299"/>
      <c r="M40" s="299"/>
      <c r="N40" s="299"/>
      <c r="O40" s="299"/>
    </row>
    <row r="41" spans="1:15" x14ac:dyDescent="0.2">
      <c r="A41" s="250"/>
      <c r="B41" s="299"/>
      <c r="C41" s="299"/>
      <c r="D41" s="299"/>
      <c r="E41" s="299"/>
      <c r="F41" s="299"/>
      <c r="G41" s="299"/>
      <c r="H41" s="299"/>
      <c r="I41" s="299"/>
      <c r="J41" s="299"/>
      <c r="K41" s="299"/>
      <c r="L41" s="299"/>
      <c r="M41" s="299"/>
      <c r="N41" s="299"/>
      <c r="O41" s="299"/>
    </row>
    <row r="42" spans="1:15" x14ac:dyDescent="0.2">
      <c r="A42" s="250"/>
      <c r="B42" s="299"/>
      <c r="C42" s="299"/>
      <c r="D42" s="299"/>
      <c r="E42" s="299"/>
      <c r="F42" s="299"/>
      <c r="G42" s="299"/>
      <c r="H42" s="299"/>
      <c r="I42" s="299"/>
      <c r="J42" s="299"/>
      <c r="K42" s="299"/>
      <c r="L42" s="299"/>
      <c r="M42" s="299"/>
      <c r="N42" s="299"/>
      <c r="O42" s="299"/>
    </row>
    <row r="43" spans="1:15" x14ac:dyDescent="0.2">
      <c r="A43" s="250"/>
      <c r="B43" s="299"/>
      <c r="C43" s="299"/>
      <c r="D43" s="299"/>
      <c r="E43" s="299"/>
      <c r="F43" s="299"/>
      <c r="G43" s="299"/>
      <c r="H43" s="299"/>
      <c r="I43" s="299"/>
      <c r="J43" s="299"/>
      <c r="K43" s="299"/>
      <c r="L43" s="299"/>
      <c r="M43" s="299"/>
      <c r="N43" s="299"/>
      <c r="O43" s="299"/>
    </row>
    <row r="44" spans="1:15" x14ac:dyDescent="0.2">
      <c r="A44" s="250"/>
      <c r="B44" s="299"/>
      <c r="C44" s="299"/>
      <c r="D44" s="299"/>
      <c r="E44" s="299"/>
      <c r="F44" s="299"/>
      <c r="G44" s="299"/>
      <c r="H44" s="299"/>
      <c r="I44" s="299"/>
      <c r="J44" s="299"/>
      <c r="K44" s="299"/>
      <c r="L44" s="299"/>
      <c r="M44" s="299"/>
      <c r="N44" s="299"/>
      <c r="O44" s="299"/>
    </row>
    <row r="45" spans="1:15" x14ac:dyDescent="0.2">
      <c r="A45" s="250"/>
      <c r="B45" s="299"/>
      <c r="C45" s="299"/>
      <c r="D45" s="299"/>
      <c r="E45" s="299"/>
      <c r="F45" s="299"/>
      <c r="G45" s="299"/>
      <c r="H45" s="299"/>
      <c r="I45" s="299"/>
      <c r="J45" s="299"/>
      <c r="K45" s="299"/>
      <c r="L45" s="299"/>
      <c r="M45" s="299"/>
      <c r="N45" s="299"/>
      <c r="O45" s="299"/>
    </row>
    <row r="46" spans="1:15" x14ac:dyDescent="0.2">
      <c r="A46" s="250"/>
      <c r="B46" s="299"/>
      <c r="C46" s="299"/>
      <c r="D46" s="299"/>
      <c r="E46" s="299"/>
      <c r="F46" s="299"/>
      <c r="G46" s="299"/>
      <c r="H46" s="299"/>
      <c r="I46" s="299"/>
      <c r="J46" s="299"/>
      <c r="K46" s="299"/>
      <c r="L46" s="299"/>
      <c r="M46" s="299"/>
      <c r="N46" s="299"/>
      <c r="O46" s="299"/>
    </row>
    <row r="47" spans="1:15" x14ac:dyDescent="0.2">
      <c r="A47" s="250"/>
      <c r="B47" s="299"/>
      <c r="C47" s="299"/>
      <c r="D47" s="299"/>
      <c r="E47" s="299"/>
      <c r="F47" s="299"/>
      <c r="G47" s="299"/>
      <c r="H47" s="299"/>
      <c r="I47" s="299"/>
      <c r="J47" s="299"/>
      <c r="K47" s="299"/>
      <c r="L47" s="299"/>
      <c r="M47" s="299"/>
      <c r="N47" s="299"/>
      <c r="O47" s="299"/>
    </row>
    <row r="48" spans="1:15" ht="244.5" customHeight="1" x14ac:dyDescent="0.2">
      <c r="A48" s="250"/>
      <c r="B48" s="299"/>
      <c r="C48" s="299"/>
      <c r="D48" s="299"/>
      <c r="E48" s="299"/>
      <c r="F48" s="299"/>
      <c r="G48" s="299"/>
      <c r="H48" s="299"/>
      <c r="I48" s="299"/>
      <c r="J48" s="299"/>
      <c r="K48" s="299"/>
      <c r="L48" s="299"/>
      <c r="M48" s="299"/>
      <c r="N48" s="299"/>
      <c r="O48" s="299"/>
    </row>
    <row r="49" spans="1:15" ht="15.75" x14ac:dyDescent="0.25">
      <c r="A49" s="250"/>
      <c r="B49" s="251"/>
      <c r="C49" s="250"/>
      <c r="D49" s="250"/>
      <c r="E49" s="250"/>
      <c r="F49" s="250"/>
      <c r="G49" s="250"/>
      <c r="H49" s="250"/>
      <c r="I49" s="250"/>
      <c r="J49" s="250"/>
      <c r="K49" s="250"/>
      <c r="L49" s="250"/>
      <c r="M49" s="250"/>
      <c r="N49" s="250"/>
      <c r="O49" s="250"/>
    </row>
    <row r="50" spans="1:15" ht="15.75" x14ac:dyDescent="0.25">
      <c r="A50" s="250"/>
      <c r="B50" s="251"/>
      <c r="C50" s="250"/>
      <c r="D50" s="250"/>
      <c r="E50" s="250"/>
      <c r="F50" s="250"/>
      <c r="G50" s="250"/>
      <c r="H50" s="250"/>
      <c r="I50" s="250"/>
      <c r="J50" s="250"/>
      <c r="K50" s="250"/>
      <c r="L50" s="250"/>
      <c r="M50" s="250"/>
      <c r="N50" s="250"/>
      <c r="O50" s="250"/>
    </row>
    <row r="51" spans="1:15" x14ac:dyDescent="0.2">
      <c r="A51" s="250"/>
      <c r="B51" s="250"/>
      <c r="C51" s="250"/>
      <c r="D51" s="250"/>
      <c r="E51" s="250"/>
      <c r="F51" s="250"/>
      <c r="G51" s="250"/>
      <c r="H51" s="250"/>
      <c r="I51" s="250"/>
      <c r="J51" s="250"/>
      <c r="K51" s="250"/>
      <c r="L51" s="250"/>
      <c r="M51" s="250"/>
      <c r="N51" s="250"/>
      <c r="O51" s="250"/>
    </row>
    <row r="52" spans="1:15" x14ac:dyDescent="0.2">
      <c r="A52" s="250"/>
      <c r="B52" s="250"/>
      <c r="C52" s="250"/>
      <c r="D52" s="250"/>
      <c r="E52" s="250"/>
      <c r="F52" s="250"/>
      <c r="G52" s="250"/>
      <c r="H52" s="250"/>
      <c r="I52" s="250"/>
      <c r="J52" s="250"/>
      <c r="K52" s="250"/>
      <c r="L52" s="250"/>
      <c r="M52" s="250"/>
      <c r="N52" s="250"/>
      <c r="O52" s="250"/>
    </row>
    <row r="53" spans="1:15" ht="15.75" x14ac:dyDescent="0.25">
      <c r="A53" s="250"/>
      <c r="B53" s="251"/>
      <c r="C53" s="251"/>
      <c r="D53" s="251"/>
      <c r="E53" s="251"/>
      <c r="F53" s="251"/>
      <c r="G53" s="251"/>
      <c r="H53" s="251"/>
      <c r="I53" s="251"/>
      <c r="J53" s="250"/>
      <c r="K53" s="250"/>
      <c r="L53" s="250"/>
      <c r="M53" s="250"/>
      <c r="N53" s="250"/>
      <c r="O53" s="250"/>
    </row>
    <row r="54" spans="1:15" ht="15.75" x14ac:dyDescent="0.25">
      <c r="A54" s="250"/>
      <c r="B54" s="251"/>
      <c r="C54" s="251"/>
      <c r="D54" s="251"/>
      <c r="E54" s="251"/>
      <c r="F54" s="251"/>
      <c r="G54" s="251"/>
      <c r="H54" s="251"/>
      <c r="I54" s="251"/>
      <c r="J54" s="250"/>
      <c r="K54" s="250"/>
      <c r="L54" s="250"/>
      <c r="M54" s="250"/>
      <c r="N54" s="250"/>
      <c r="O54" s="250"/>
    </row>
    <row r="55" spans="1:15" ht="15.75" x14ac:dyDescent="0.25">
      <c r="A55" s="250"/>
      <c r="B55" s="251"/>
      <c r="C55" s="251"/>
      <c r="D55" s="251"/>
      <c r="E55" s="251"/>
      <c r="F55" s="251"/>
      <c r="G55" s="251"/>
      <c r="H55" s="251"/>
      <c r="I55" s="251"/>
      <c r="J55" s="250"/>
      <c r="K55" s="250"/>
      <c r="L55" s="250"/>
      <c r="M55" s="250"/>
      <c r="N55" s="250"/>
      <c r="O55" s="250"/>
    </row>
    <row r="56" spans="1:15" ht="15.75" x14ac:dyDescent="0.25">
      <c r="A56" s="250"/>
      <c r="B56" s="251"/>
      <c r="C56" s="251"/>
      <c r="D56" s="251"/>
      <c r="E56" s="251"/>
      <c r="F56" s="251"/>
      <c r="G56" s="251"/>
      <c r="H56" s="251"/>
      <c r="I56" s="251"/>
      <c r="J56" s="250"/>
      <c r="K56" s="250"/>
      <c r="L56" s="250"/>
      <c r="M56" s="250"/>
      <c r="N56" s="250"/>
      <c r="O56" s="250"/>
    </row>
    <row r="57" spans="1:15" ht="15.75" x14ac:dyDescent="0.25">
      <c r="A57" s="250"/>
      <c r="B57" s="251"/>
      <c r="C57" s="251"/>
      <c r="D57" s="251"/>
      <c r="E57" s="251"/>
      <c r="F57" s="251"/>
      <c r="G57" s="251"/>
      <c r="H57" s="251"/>
      <c r="I57" s="251"/>
      <c r="J57" s="250"/>
      <c r="K57" s="250"/>
      <c r="L57" s="250"/>
      <c r="M57" s="250"/>
      <c r="N57" s="250"/>
      <c r="O57" s="250"/>
    </row>
    <row r="58" spans="1:15" ht="15.75" x14ac:dyDescent="0.25">
      <c r="A58" s="250"/>
      <c r="B58" s="251"/>
      <c r="C58" s="251"/>
      <c r="D58" s="251"/>
      <c r="E58" s="251"/>
      <c r="F58" s="251"/>
      <c r="G58" s="251"/>
      <c r="H58" s="251"/>
      <c r="I58" s="251"/>
      <c r="J58" s="250"/>
      <c r="K58" s="250"/>
      <c r="L58" s="250"/>
      <c r="M58" s="250"/>
      <c r="N58" s="250"/>
      <c r="O58" s="250"/>
    </row>
    <row r="59" spans="1:15" ht="15.75" x14ac:dyDescent="0.25">
      <c r="A59" s="250"/>
      <c r="B59" s="251"/>
      <c r="C59" s="251"/>
      <c r="D59" s="251"/>
      <c r="E59" s="251"/>
      <c r="F59" s="251"/>
      <c r="G59" s="251"/>
      <c r="H59" s="251"/>
      <c r="I59" s="251"/>
      <c r="J59" s="250"/>
      <c r="K59" s="250"/>
      <c r="L59" s="250"/>
      <c r="M59" s="250"/>
      <c r="N59" s="250"/>
      <c r="O59" s="250"/>
    </row>
    <row r="60" spans="1:15" ht="15.75" x14ac:dyDescent="0.25">
      <c r="A60" s="250"/>
      <c r="B60" s="251"/>
      <c r="C60" s="251"/>
      <c r="D60" s="251"/>
      <c r="E60" s="251"/>
      <c r="F60" s="251"/>
      <c r="G60" s="251"/>
      <c r="H60" s="251"/>
      <c r="I60" s="251"/>
      <c r="J60" s="250"/>
      <c r="K60" s="250"/>
      <c r="L60" s="250"/>
      <c r="M60" s="250"/>
      <c r="N60" s="250"/>
      <c r="O60" s="250"/>
    </row>
    <row r="61" spans="1:15" ht="15.75" x14ac:dyDescent="0.25">
      <c r="A61" s="250"/>
      <c r="B61" s="251"/>
      <c r="C61" s="251"/>
      <c r="D61" s="251"/>
      <c r="E61" s="251"/>
      <c r="F61" s="251"/>
      <c r="G61" s="251"/>
      <c r="H61" s="251"/>
      <c r="I61" s="251"/>
      <c r="J61" s="250"/>
      <c r="K61" s="250"/>
      <c r="L61" s="250"/>
      <c r="M61" s="250"/>
      <c r="N61" s="250"/>
      <c r="O61" s="250"/>
    </row>
    <row r="62" spans="1:15" ht="15.75" x14ac:dyDescent="0.25">
      <c r="A62" s="250"/>
      <c r="B62" s="251"/>
      <c r="C62" s="251"/>
      <c r="D62" s="251"/>
      <c r="E62" s="251"/>
      <c r="F62" s="251"/>
      <c r="G62" s="251"/>
      <c r="H62" s="251"/>
      <c r="I62" s="251"/>
      <c r="J62" s="250"/>
      <c r="K62" s="250"/>
      <c r="L62" s="250"/>
      <c r="M62" s="250"/>
      <c r="N62" s="250"/>
      <c r="O62" s="250"/>
    </row>
    <row r="63" spans="1:15" ht="15.75" x14ac:dyDescent="0.25">
      <c r="A63" s="250"/>
      <c r="B63" s="251"/>
      <c r="C63" s="251"/>
      <c r="D63" s="251"/>
      <c r="E63" s="251"/>
      <c r="F63" s="251"/>
      <c r="G63" s="251"/>
      <c r="H63" s="251"/>
      <c r="I63" s="251"/>
      <c r="J63" s="250"/>
      <c r="K63" s="250"/>
      <c r="L63" s="250"/>
      <c r="M63" s="250"/>
      <c r="N63" s="250"/>
      <c r="O63" s="250"/>
    </row>
    <row r="64" spans="1:15" ht="15.75" x14ac:dyDescent="0.25">
      <c r="A64" s="250"/>
      <c r="B64" s="295"/>
      <c r="C64" s="296"/>
      <c r="D64" s="296"/>
      <c r="E64" s="296"/>
      <c r="F64" s="296"/>
      <c r="G64" s="296"/>
      <c r="H64" s="296"/>
      <c r="I64" s="296"/>
      <c r="J64" s="250"/>
      <c r="K64" s="250"/>
      <c r="L64" s="250"/>
      <c r="M64" s="250"/>
      <c r="N64" s="250"/>
      <c r="O64" s="250"/>
    </row>
    <row r="65" spans="1:15" ht="15.75" x14ac:dyDescent="0.25">
      <c r="A65" s="250"/>
      <c r="B65" s="251"/>
      <c r="C65" s="251"/>
      <c r="D65" s="251"/>
      <c r="E65" s="251"/>
      <c r="F65" s="251"/>
      <c r="G65" s="251"/>
      <c r="H65" s="251"/>
      <c r="I65" s="251"/>
      <c r="J65" s="250"/>
      <c r="K65" s="250"/>
      <c r="L65" s="250"/>
      <c r="M65" s="250"/>
      <c r="N65" s="250"/>
      <c r="O65" s="250"/>
    </row>
    <row r="66" spans="1:15" ht="15.75" x14ac:dyDescent="0.25">
      <c r="A66" s="250"/>
      <c r="B66" s="251"/>
      <c r="C66" s="251"/>
      <c r="D66" s="251"/>
      <c r="E66" s="251"/>
      <c r="F66" s="251"/>
      <c r="G66" s="251"/>
      <c r="H66" s="251"/>
      <c r="I66" s="251"/>
      <c r="J66" s="250"/>
      <c r="K66" s="250"/>
      <c r="L66" s="250"/>
      <c r="M66" s="250"/>
      <c r="N66" s="250"/>
      <c r="O66" s="250"/>
    </row>
    <row r="67" spans="1:15" x14ac:dyDescent="0.2">
      <c r="A67" s="250"/>
      <c r="B67" s="250"/>
      <c r="C67" s="250"/>
      <c r="D67" s="250"/>
      <c r="E67" s="250"/>
      <c r="F67" s="250"/>
      <c r="G67" s="250"/>
      <c r="H67" s="250"/>
      <c r="I67" s="250"/>
      <c r="J67" s="250"/>
      <c r="K67" s="250"/>
      <c r="L67" s="250"/>
      <c r="M67" s="250"/>
      <c r="N67" s="250"/>
      <c r="O67" s="250"/>
    </row>
    <row r="68" spans="1:15" x14ac:dyDescent="0.2">
      <c r="A68" s="250"/>
      <c r="B68" s="250"/>
      <c r="C68" s="250"/>
      <c r="D68" s="250"/>
      <c r="E68" s="250"/>
      <c r="F68" s="250"/>
      <c r="G68" s="250"/>
      <c r="H68" s="250"/>
      <c r="I68" s="250"/>
      <c r="J68" s="250"/>
      <c r="K68" s="250"/>
      <c r="L68" s="250"/>
      <c r="M68" s="250"/>
      <c r="N68" s="250"/>
      <c r="O68" s="250"/>
    </row>
    <row r="69" spans="1:15" ht="15.75" x14ac:dyDescent="0.25">
      <c r="A69" s="250"/>
      <c r="B69" s="251"/>
      <c r="C69" s="251"/>
      <c r="D69" s="251"/>
      <c r="E69" s="251"/>
      <c r="F69" s="251"/>
      <c r="G69" s="251"/>
      <c r="H69" s="251"/>
      <c r="I69" s="251"/>
      <c r="J69" s="250"/>
      <c r="K69" s="250"/>
      <c r="L69" s="250"/>
      <c r="M69" s="250"/>
      <c r="N69" s="250"/>
      <c r="O69" s="250"/>
    </row>
    <row r="70" spans="1:15" ht="15.75" x14ac:dyDescent="0.25">
      <c r="A70" s="250"/>
      <c r="B70" s="251"/>
      <c r="C70" s="252"/>
      <c r="D70" s="252"/>
      <c r="E70" s="252"/>
      <c r="F70" s="252"/>
      <c r="G70" s="252"/>
      <c r="H70" s="252"/>
      <c r="I70" s="252"/>
      <c r="J70" s="250"/>
      <c r="K70" s="250"/>
      <c r="L70" s="250"/>
      <c r="M70" s="250"/>
      <c r="N70" s="250"/>
      <c r="O70" s="250"/>
    </row>
    <row r="71" spans="1:15" ht="15.75" x14ac:dyDescent="0.25">
      <c r="A71" s="250"/>
      <c r="B71" s="251"/>
      <c r="C71" s="252"/>
      <c r="D71" s="252"/>
      <c r="E71" s="252"/>
      <c r="F71" s="252"/>
      <c r="G71" s="252"/>
      <c r="H71" s="252"/>
      <c r="I71" s="252"/>
      <c r="J71" s="250"/>
      <c r="K71" s="250"/>
      <c r="L71" s="250"/>
      <c r="M71" s="250"/>
      <c r="N71" s="250"/>
      <c r="O71" s="250"/>
    </row>
    <row r="72" spans="1:15" ht="15.75" x14ac:dyDescent="0.25">
      <c r="A72" s="250"/>
      <c r="B72" s="295"/>
      <c r="C72" s="296"/>
      <c r="D72" s="296"/>
      <c r="E72" s="296"/>
      <c r="F72" s="296"/>
      <c r="G72" s="296"/>
      <c r="H72" s="296"/>
      <c r="I72" s="252"/>
      <c r="J72" s="250"/>
      <c r="K72" s="250"/>
      <c r="L72" s="250"/>
      <c r="M72" s="250"/>
      <c r="N72" s="250"/>
      <c r="O72" s="250"/>
    </row>
    <row r="73" spans="1:15" ht="15.75" x14ac:dyDescent="0.25">
      <c r="A73" s="250"/>
      <c r="B73" s="295"/>
      <c r="C73" s="296"/>
      <c r="D73" s="296"/>
      <c r="E73" s="296"/>
      <c r="F73" s="296"/>
      <c r="G73" s="296"/>
      <c r="H73" s="296"/>
      <c r="I73" s="252"/>
      <c r="J73" s="250"/>
      <c r="K73" s="250"/>
      <c r="L73" s="250"/>
      <c r="M73" s="250"/>
      <c r="N73" s="250"/>
      <c r="O73" s="250"/>
    </row>
    <row r="74" spans="1:15" ht="15.75" x14ac:dyDescent="0.25">
      <c r="A74" s="250"/>
      <c r="B74" s="251"/>
      <c r="C74" s="252"/>
      <c r="D74" s="252"/>
      <c r="E74" s="252"/>
      <c r="F74" s="252"/>
      <c r="G74" s="252"/>
      <c r="H74" s="252"/>
      <c r="I74" s="252"/>
      <c r="J74" s="250"/>
      <c r="K74" s="250"/>
      <c r="L74" s="250"/>
      <c r="M74" s="250"/>
      <c r="N74" s="250"/>
      <c r="O74" s="250"/>
    </row>
    <row r="75" spans="1:15" ht="15.75" x14ac:dyDescent="0.25">
      <c r="A75" s="250"/>
      <c r="B75" s="251"/>
      <c r="C75" s="252"/>
      <c r="D75" s="252"/>
      <c r="E75" s="252"/>
      <c r="F75" s="252"/>
      <c r="G75" s="252"/>
      <c r="H75" s="252"/>
      <c r="I75" s="252"/>
      <c r="J75" s="250"/>
      <c r="K75" s="250"/>
      <c r="L75" s="250"/>
      <c r="M75" s="250"/>
      <c r="N75" s="250"/>
      <c r="O75" s="250"/>
    </row>
    <row r="76" spans="1:15" ht="15.75" x14ac:dyDescent="0.25">
      <c r="A76" s="250"/>
      <c r="B76" s="295"/>
      <c r="C76" s="296"/>
      <c r="D76" s="296"/>
      <c r="E76" s="296"/>
      <c r="F76" s="296"/>
      <c r="G76" s="296"/>
      <c r="H76" s="296"/>
      <c r="I76" s="296"/>
      <c r="J76" s="250"/>
      <c r="K76" s="250"/>
      <c r="L76" s="250"/>
      <c r="M76" s="250"/>
      <c r="N76" s="250"/>
      <c r="O76" s="250"/>
    </row>
    <row r="77" spans="1:15" ht="15.75" x14ac:dyDescent="0.25">
      <c r="A77" s="250"/>
      <c r="B77" s="251"/>
      <c r="C77" s="252"/>
      <c r="D77" s="252"/>
      <c r="E77" s="252"/>
      <c r="F77" s="252"/>
      <c r="G77" s="252"/>
      <c r="H77" s="252"/>
      <c r="I77" s="252"/>
      <c r="J77" s="250"/>
      <c r="K77" s="250"/>
      <c r="L77" s="250"/>
      <c r="M77" s="250"/>
      <c r="N77" s="250"/>
      <c r="O77" s="250"/>
    </row>
    <row r="78" spans="1:15" ht="15.75" x14ac:dyDescent="0.25">
      <c r="A78" s="250"/>
      <c r="B78" s="251"/>
      <c r="C78" s="252"/>
      <c r="D78" s="252"/>
      <c r="E78" s="252"/>
      <c r="F78" s="252"/>
      <c r="G78" s="252"/>
      <c r="H78" s="252"/>
      <c r="I78" s="252"/>
      <c r="J78" s="250"/>
      <c r="K78" s="250"/>
      <c r="L78" s="250"/>
      <c r="M78" s="250"/>
      <c r="N78" s="250"/>
      <c r="O78" s="250"/>
    </row>
    <row r="79" spans="1:15" ht="15.75" x14ac:dyDescent="0.25">
      <c r="A79" s="250"/>
      <c r="B79" s="251"/>
      <c r="C79" s="252"/>
      <c r="D79" s="252"/>
      <c r="E79" s="252"/>
      <c r="F79" s="252"/>
      <c r="G79" s="252"/>
      <c r="H79" s="252"/>
      <c r="I79" s="252"/>
      <c r="J79" s="250"/>
      <c r="K79" s="250"/>
      <c r="L79" s="250"/>
      <c r="M79" s="250"/>
      <c r="N79" s="250"/>
      <c r="O79" s="250"/>
    </row>
    <row r="80" spans="1:15" ht="15.75" x14ac:dyDescent="0.25">
      <c r="A80" s="250"/>
      <c r="B80" s="251"/>
      <c r="C80" s="253"/>
      <c r="D80" s="253"/>
      <c r="E80" s="253"/>
      <c r="F80" s="253"/>
      <c r="G80" s="253"/>
      <c r="H80" s="253"/>
      <c r="I80" s="253"/>
      <c r="J80" s="250"/>
      <c r="K80" s="250"/>
      <c r="L80" s="250"/>
      <c r="M80" s="250"/>
      <c r="N80" s="250"/>
      <c r="O80" s="250"/>
    </row>
    <row r="81" spans="1:15" ht="15.75" x14ac:dyDescent="0.25">
      <c r="A81" s="250"/>
      <c r="B81" s="251"/>
      <c r="C81" s="253"/>
      <c r="D81" s="253"/>
      <c r="E81" s="253"/>
      <c r="F81" s="253"/>
      <c r="G81" s="253"/>
      <c r="H81" s="253"/>
      <c r="I81" s="253"/>
      <c r="J81" s="250"/>
      <c r="K81" s="250"/>
      <c r="L81" s="250"/>
      <c r="M81" s="250"/>
      <c r="N81" s="250"/>
      <c r="O81" s="250"/>
    </row>
    <row r="82" spans="1:15" ht="15.75" x14ac:dyDescent="0.25">
      <c r="A82" s="250"/>
      <c r="B82" s="251"/>
      <c r="C82" s="253"/>
      <c r="D82" s="253"/>
      <c r="E82" s="253"/>
      <c r="F82" s="253"/>
      <c r="G82" s="253"/>
      <c r="H82" s="253"/>
      <c r="I82" s="253"/>
      <c r="J82" s="250"/>
      <c r="K82" s="250"/>
      <c r="L82" s="250"/>
      <c r="M82" s="250"/>
      <c r="N82" s="250"/>
      <c r="O82" s="250"/>
    </row>
    <row r="83" spans="1:15" ht="15.75" x14ac:dyDescent="0.25">
      <c r="A83" s="250"/>
      <c r="B83" s="251"/>
      <c r="C83" s="253"/>
      <c r="D83" s="253"/>
      <c r="E83" s="253"/>
      <c r="F83" s="253"/>
      <c r="G83" s="253"/>
      <c r="H83" s="253"/>
      <c r="I83" s="253"/>
      <c r="J83" s="250"/>
      <c r="K83" s="250"/>
      <c r="L83" s="250"/>
      <c r="M83" s="250"/>
      <c r="N83" s="250"/>
      <c r="O83" s="250"/>
    </row>
    <row r="84" spans="1:15" ht="15.75" x14ac:dyDescent="0.25">
      <c r="A84" s="250"/>
      <c r="B84" s="251"/>
      <c r="C84" s="253"/>
      <c r="D84" s="253"/>
      <c r="E84" s="253"/>
      <c r="F84" s="253"/>
      <c r="G84" s="253"/>
      <c r="H84" s="253"/>
      <c r="I84" s="253"/>
      <c r="J84" s="250"/>
      <c r="K84" s="250"/>
      <c r="L84" s="250"/>
      <c r="M84" s="250"/>
      <c r="N84" s="250"/>
      <c r="O84" s="250"/>
    </row>
    <row r="85" spans="1:15" ht="15.75" x14ac:dyDescent="0.25">
      <c r="A85" s="250"/>
      <c r="B85" s="295"/>
      <c r="C85" s="296"/>
      <c r="D85" s="296"/>
      <c r="E85" s="296"/>
      <c r="F85" s="296"/>
      <c r="G85" s="296"/>
      <c r="H85" s="296"/>
      <c r="I85" s="253"/>
      <c r="J85" s="250"/>
      <c r="K85" s="250"/>
      <c r="L85" s="250"/>
      <c r="M85" s="250"/>
      <c r="N85" s="250"/>
      <c r="O85" s="250"/>
    </row>
    <row r="86" spans="1:15" ht="15.75" x14ac:dyDescent="0.25">
      <c r="A86" s="250"/>
      <c r="B86" s="295"/>
      <c r="C86" s="296"/>
      <c r="D86" s="296"/>
      <c r="E86" s="296"/>
      <c r="F86" s="296"/>
      <c r="G86" s="296"/>
      <c r="H86" s="296"/>
      <c r="I86" s="296"/>
      <c r="J86" s="250"/>
      <c r="K86" s="250"/>
      <c r="L86" s="250"/>
      <c r="M86" s="250"/>
      <c r="N86" s="250"/>
      <c r="O86" s="250"/>
    </row>
    <row r="87" spans="1:15" ht="15.75" x14ac:dyDescent="0.25">
      <c r="A87" s="250"/>
      <c r="B87" s="251"/>
      <c r="C87" s="253"/>
      <c r="D87" s="253"/>
      <c r="E87" s="253"/>
      <c r="F87" s="253"/>
      <c r="G87" s="253"/>
      <c r="H87" s="253"/>
      <c r="I87" s="253"/>
      <c r="J87" s="250"/>
      <c r="K87" s="250"/>
      <c r="L87" s="250"/>
      <c r="M87" s="250"/>
      <c r="N87" s="250"/>
      <c r="O87" s="250"/>
    </row>
    <row r="88" spans="1:15" ht="15.75" x14ac:dyDescent="0.25">
      <c r="A88" s="250"/>
      <c r="B88" s="251"/>
      <c r="C88" s="253"/>
      <c r="D88" s="253"/>
      <c r="E88" s="253"/>
      <c r="F88" s="253"/>
      <c r="G88" s="253"/>
      <c r="H88" s="253"/>
      <c r="I88" s="253"/>
      <c r="J88" s="250"/>
      <c r="K88" s="250"/>
      <c r="L88" s="250"/>
      <c r="M88" s="250"/>
      <c r="N88" s="250"/>
      <c r="O88" s="250"/>
    </row>
    <row r="89" spans="1:15" ht="15.75" x14ac:dyDescent="0.25">
      <c r="A89" s="250"/>
      <c r="B89" s="295"/>
      <c r="C89" s="296"/>
      <c r="D89" s="296"/>
      <c r="E89" s="296"/>
      <c r="F89" s="296"/>
      <c r="G89" s="296"/>
      <c r="H89" s="296"/>
      <c r="I89" s="296"/>
      <c r="J89" s="250"/>
      <c r="K89" s="250"/>
      <c r="L89" s="250"/>
      <c r="M89" s="250"/>
      <c r="N89" s="250"/>
      <c r="O89" s="250"/>
    </row>
    <row r="90" spans="1:15" ht="15.75" x14ac:dyDescent="0.25">
      <c r="A90" s="250"/>
      <c r="B90" s="254"/>
      <c r="C90" s="253"/>
      <c r="D90" s="253"/>
      <c r="E90" s="253"/>
      <c r="F90" s="253"/>
      <c r="G90" s="253"/>
      <c r="H90" s="253"/>
      <c r="I90" s="253"/>
      <c r="J90" s="250"/>
      <c r="K90" s="250"/>
      <c r="L90" s="250"/>
      <c r="M90" s="250"/>
      <c r="N90" s="250"/>
      <c r="O90" s="250"/>
    </row>
    <row r="91" spans="1:15" ht="15.75" x14ac:dyDescent="0.25">
      <c r="A91" s="250"/>
      <c r="B91" s="297"/>
      <c r="C91" s="296"/>
      <c r="D91" s="296"/>
      <c r="E91" s="296"/>
      <c r="F91" s="296"/>
      <c r="G91" s="296"/>
      <c r="H91" s="296"/>
      <c r="I91" s="296"/>
      <c r="J91" s="250"/>
      <c r="K91" s="250"/>
      <c r="L91" s="250"/>
      <c r="M91" s="250"/>
      <c r="N91" s="250"/>
      <c r="O91" s="250"/>
    </row>
    <row r="92" spans="1:15" ht="15.75" x14ac:dyDescent="0.25">
      <c r="A92" s="250"/>
      <c r="B92" s="297"/>
      <c r="C92" s="296"/>
      <c r="D92" s="296"/>
      <c r="E92" s="296"/>
      <c r="F92" s="296"/>
      <c r="G92" s="296"/>
      <c r="H92" s="296"/>
      <c r="I92" s="296"/>
      <c r="J92" s="250"/>
      <c r="K92" s="250"/>
      <c r="L92" s="250"/>
      <c r="M92" s="250"/>
      <c r="N92" s="250"/>
      <c r="O92" s="250"/>
    </row>
    <row r="93" spans="1:15" x14ac:dyDescent="0.2">
      <c r="A93" s="250"/>
      <c r="B93" s="253"/>
      <c r="C93" s="253"/>
      <c r="D93" s="253"/>
      <c r="E93" s="253"/>
      <c r="F93" s="253"/>
      <c r="G93" s="253"/>
      <c r="H93" s="253"/>
      <c r="I93" s="253"/>
      <c r="J93" s="250"/>
      <c r="K93" s="250"/>
      <c r="L93" s="250"/>
      <c r="M93" s="250"/>
      <c r="N93" s="250"/>
      <c r="O93" s="250"/>
    </row>
  </sheetData>
  <mergeCells count="10">
    <mergeCell ref="B76:I76"/>
    <mergeCell ref="B64:I64"/>
    <mergeCell ref="B72:H72"/>
    <mergeCell ref="B73:H73"/>
    <mergeCell ref="B3:O48"/>
    <mergeCell ref="B85:H85"/>
    <mergeCell ref="B86:I86"/>
    <mergeCell ref="B89:I89"/>
    <mergeCell ref="B91:I91"/>
    <mergeCell ref="B92:I92"/>
  </mergeCells>
  <pageMargins left="0.7" right="0.7" top="0.75" bottom="0.75" header="0.3" footer="0.3"/>
  <pageSetup scale="6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9:BK50"/>
  <sheetViews>
    <sheetView showGridLines="0" zoomScaleNormal="100" workbookViewId="0">
      <selection activeCell="C29" sqref="C29"/>
    </sheetView>
  </sheetViews>
  <sheetFormatPr defaultColWidth="9.140625" defaultRowHeight="12.75" x14ac:dyDescent="0.2"/>
  <cols>
    <col min="1" max="1" width="3" style="214" customWidth="1"/>
    <col min="2" max="2" width="30.7109375" style="214" bestFit="1" customWidth="1"/>
    <col min="3" max="3" width="13.5703125" style="214" bestFit="1" customWidth="1"/>
    <col min="4" max="5" width="12.42578125" style="214" bestFit="1" customWidth="1"/>
    <col min="6" max="7" width="12" style="214" bestFit="1" customWidth="1"/>
    <col min="8" max="8" width="14.5703125" style="214" bestFit="1" customWidth="1"/>
    <col min="9" max="52" width="12" style="214" bestFit="1" customWidth="1"/>
    <col min="53" max="16384" width="9.140625" style="214"/>
  </cols>
  <sheetData>
    <row r="19" spans="2:58" ht="13.5" thickBot="1" x14ac:dyDescent="0.25"/>
    <row r="20" spans="2:58" ht="13.5" thickTop="1" x14ac:dyDescent="0.2">
      <c r="B20" s="218" t="s">
        <v>303</v>
      </c>
      <c r="C20" s="219">
        <v>1</v>
      </c>
      <c r="D20" s="219">
        <f>+C20+1</f>
        <v>2</v>
      </c>
      <c r="E20" s="219">
        <f t="shared" ref="E20:AZ20" si="0">+D20+1</f>
        <v>3</v>
      </c>
      <c r="F20" s="219">
        <f t="shared" si="0"/>
        <v>4</v>
      </c>
      <c r="G20" s="219">
        <f t="shared" si="0"/>
        <v>5</v>
      </c>
      <c r="H20" s="219">
        <f t="shared" si="0"/>
        <v>6</v>
      </c>
      <c r="I20" s="219">
        <f t="shared" si="0"/>
        <v>7</v>
      </c>
      <c r="J20" s="219">
        <f t="shared" si="0"/>
        <v>8</v>
      </c>
      <c r="K20" s="219">
        <f t="shared" si="0"/>
        <v>9</v>
      </c>
      <c r="L20" s="219">
        <f t="shared" si="0"/>
        <v>10</v>
      </c>
      <c r="M20" s="219">
        <f t="shared" si="0"/>
        <v>11</v>
      </c>
      <c r="N20" s="219">
        <f t="shared" si="0"/>
        <v>12</v>
      </c>
      <c r="O20" s="219">
        <f t="shared" si="0"/>
        <v>13</v>
      </c>
      <c r="P20" s="219">
        <f t="shared" si="0"/>
        <v>14</v>
      </c>
      <c r="Q20" s="219">
        <f t="shared" si="0"/>
        <v>15</v>
      </c>
      <c r="R20" s="219">
        <f t="shared" si="0"/>
        <v>16</v>
      </c>
      <c r="S20" s="219">
        <f t="shared" si="0"/>
        <v>17</v>
      </c>
      <c r="T20" s="219">
        <f t="shared" si="0"/>
        <v>18</v>
      </c>
      <c r="U20" s="219">
        <f t="shared" si="0"/>
        <v>19</v>
      </c>
      <c r="V20" s="219">
        <f t="shared" si="0"/>
        <v>20</v>
      </c>
      <c r="W20" s="219">
        <f t="shared" si="0"/>
        <v>21</v>
      </c>
      <c r="X20" s="219">
        <f t="shared" si="0"/>
        <v>22</v>
      </c>
      <c r="Y20" s="219">
        <f t="shared" si="0"/>
        <v>23</v>
      </c>
      <c r="Z20" s="219">
        <f t="shared" si="0"/>
        <v>24</v>
      </c>
      <c r="AA20" s="219">
        <f t="shared" si="0"/>
        <v>25</v>
      </c>
      <c r="AB20" s="219">
        <f t="shared" si="0"/>
        <v>26</v>
      </c>
      <c r="AC20" s="219">
        <f t="shared" si="0"/>
        <v>27</v>
      </c>
      <c r="AD20" s="219">
        <f t="shared" si="0"/>
        <v>28</v>
      </c>
      <c r="AE20" s="219">
        <f t="shared" si="0"/>
        <v>29</v>
      </c>
      <c r="AF20" s="219">
        <f t="shared" si="0"/>
        <v>30</v>
      </c>
      <c r="AG20" s="219">
        <f t="shared" si="0"/>
        <v>31</v>
      </c>
      <c r="AH20" s="219">
        <f t="shared" si="0"/>
        <v>32</v>
      </c>
      <c r="AI20" s="219">
        <f t="shared" si="0"/>
        <v>33</v>
      </c>
      <c r="AJ20" s="219">
        <f t="shared" si="0"/>
        <v>34</v>
      </c>
      <c r="AK20" s="219">
        <f t="shared" si="0"/>
        <v>35</v>
      </c>
      <c r="AL20" s="219">
        <f t="shared" si="0"/>
        <v>36</v>
      </c>
      <c r="AM20" s="219">
        <f t="shared" si="0"/>
        <v>37</v>
      </c>
      <c r="AN20" s="219">
        <f t="shared" si="0"/>
        <v>38</v>
      </c>
      <c r="AO20" s="219">
        <f t="shared" si="0"/>
        <v>39</v>
      </c>
      <c r="AP20" s="219">
        <f t="shared" si="0"/>
        <v>40</v>
      </c>
      <c r="AQ20" s="219">
        <f t="shared" si="0"/>
        <v>41</v>
      </c>
      <c r="AR20" s="219">
        <f t="shared" si="0"/>
        <v>42</v>
      </c>
      <c r="AS20" s="219">
        <f t="shared" si="0"/>
        <v>43</v>
      </c>
      <c r="AT20" s="219">
        <f t="shared" si="0"/>
        <v>44</v>
      </c>
      <c r="AU20" s="219">
        <f t="shared" si="0"/>
        <v>45</v>
      </c>
      <c r="AV20" s="219">
        <f t="shared" si="0"/>
        <v>46</v>
      </c>
      <c r="AW20" s="219">
        <f t="shared" si="0"/>
        <v>47</v>
      </c>
      <c r="AX20" s="219">
        <f t="shared" si="0"/>
        <v>48</v>
      </c>
      <c r="AY20" s="219">
        <f t="shared" si="0"/>
        <v>49</v>
      </c>
      <c r="AZ20" s="220">
        <f t="shared" si="0"/>
        <v>50</v>
      </c>
      <c r="BA20" s="215" t="s">
        <v>145</v>
      </c>
      <c r="BB20" s="215" t="s">
        <v>145</v>
      </c>
      <c r="BC20" s="215" t="s">
        <v>145</v>
      </c>
    </row>
    <row r="21" spans="2:58" x14ac:dyDescent="0.2">
      <c r="B21" s="222" t="s">
        <v>314</v>
      </c>
      <c r="C21" s="216">
        <f>+'Muskrat Falls'!$I$65</f>
        <v>6345025.1224999996</v>
      </c>
      <c r="D21" s="216">
        <f>+'Muskrat Falls'!$I$65</f>
        <v>6345025.1224999996</v>
      </c>
      <c r="E21" s="216">
        <f>+'Muskrat Falls'!$I$65</f>
        <v>6345025.1224999996</v>
      </c>
      <c r="F21" s="216">
        <f>+'Muskrat Falls'!$I$65</f>
        <v>6345025.1224999996</v>
      </c>
      <c r="G21" s="216">
        <f>+'Muskrat Falls'!$I$65</f>
        <v>6345025.1224999996</v>
      </c>
      <c r="H21" s="216">
        <f>+'Muskrat Falls'!$I$65</f>
        <v>6345025.1224999996</v>
      </c>
      <c r="I21" s="216">
        <f>+'Muskrat Falls'!$I$65</f>
        <v>6345025.1224999996</v>
      </c>
      <c r="J21" s="216">
        <f>+'Muskrat Falls'!$I$65</f>
        <v>6345025.1224999996</v>
      </c>
      <c r="K21" s="216">
        <f>+'Muskrat Falls'!$I$65</f>
        <v>6345025.1224999996</v>
      </c>
      <c r="L21" s="216">
        <f>+'Muskrat Falls'!$I$65</f>
        <v>6345025.1224999996</v>
      </c>
      <c r="M21" s="216">
        <f>+'Muskrat Falls'!$I$65</f>
        <v>6345025.1224999996</v>
      </c>
      <c r="N21" s="216">
        <f>+'Muskrat Falls'!$I$65</f>
        <v>6345025.1224999996</v>
      </c>
      <c r="O21" s="216">
        <f>+'Muskrat Falls'!$I$65</f>
        <v>6345025.1224999996</v>
      </c>
      <c r="P21" s="216">
        <f>+'Muskrat Falls'!$I$65</f>
        <v>6345025.1224999996</v>
      </c>
      <c r="Q21" s="216">
        <f>+'Muskrat Falls'!$I$65</f>
        <v>6345025.1224999996</v>
      </c>
      <c r="R21" s="216">
        <f>+'Muskrat Falls'!$I$65</f>
        <v>6345025.1224999996</v>
      </c>
      <c r="S21" s="216">
        <f>+'Muskrat Falls'!$I$65</f>
        <v>6345025.1224999996</v>
      </c>
      <c r="T21" s="216">
        <f>+'Muskrat Falls'!$I$65</f>
        <v>6345025.1224999996</v>
      </c>
      <c r="U21" s="216">
        <f>+'Muskrat Falls'!$I$65</f>
        <v>6345025.1224999996</v>
      </c>
      <c r="V21" s="216">
        <f>+'Muskrat Falls'!$I$65</f>
        <v>6345025.1224999996</v>
      </c>
      <c r="W21" s="216">
        <f>+'Muskrat Falls'!$I$65</f>
        <v>6345025.1224999996</v>
      </c>
      <c r="X21" s="216">
        <f>+'Muskrat Falls'!$I$65</f>
        <v>6345025.1224999996</v>
      </c>
      <c r="Y21" s="216">
        <f>+'Muskrat Falls'!$I$65</f>
        <v>6345025.1224999996</v>
      </c>
      <c r="Z21" s="216">
        <f>+'Muskrat Falls'!$I$65</f>
        <v>6345025.1224999996</v>
      </c>
      <c r="AA21" s="216">
        <f>+'Muskrat Falls'!$I$65</f>
        <v>6345025.1224999996</v>
      </c>
      <c r="AB21" s="216">
        <f>+'Muskrat Falls'!$I$65</f>
        <v>6345025.1224999996</v>
      </c>
      <c r="AC21" s="216">
        <f>+'Muskrat Falls'!$I$65</f>
        <v>6345025.1224999996</v>
      </c>
      <c r="AD21" s="216">
        <f>+'Muskrat Falls'!$I$65</f>
        <v>6345025.1224999996</v>
      </c>
      <c r="AE21" s="216">
        <f>+'Muskrat Falls'!$I$65</f>
        <v>6345025.1224999996</v>
      </c>
      <c r="AF21" s="216">
        <f>+'Muskrat Falls'!$I$65</f>
        <v>6345025.1224999996</v>
      </c>
      <c r="AG21" s="216">
        <f>+'Muskrat Falls'!$I$65</f>
        <v>6345025.1224999996</v>
      </c>
      <c r="AH21" s="216">
        <f>+'Muskrat Falls'!$I$65</f>
        <v>6345025.1224999996</v>
      </c>
      <c r="AI21" s="216">
        <f>+'Muskrat Falls'!$I$65</f>
        <v>6345025.1224999996</v>
      </c>
      <c r="AJ21" s="216">
        <f>+'Muskrat Falls'!$I$65</f>
        <v>6345025.1224999996</v>
      </c>
      <c r="AK21" s="216">
        <f>+'Muskrat Falls'!$I$65</f>
        <v>6345025.1224999996</v>
      </c>
      <c r="AL21" s="216">
        <f>+'Muskrat Falls'!$I$65</f>
        <v>6345025.1224999996</v>
      </c>
      <c r="AM21" s="216">
        <f>+'Muskrat Falls'!$I$65</f>
        <v>6345025.1224999996</v>
      </c>
      <c r="AN21" s="216">
        <f>+'Muskrat Falls'!$I$65</f>
        <v>6345025.1224999996</v>
      </c>
      <c r="AO21" s="216">
        <f>+'Muskrat Falls'!$I$65</f>
        <v>6345025.1224999996</v>
      </c>
      <c r="AP21" s="216">
        <f>+'Muskrat Falls'!$I$65</f>
        <v>6345025.1224999996</v>
      </c>
      <c r="AQ21" s="216">
        <f>+'Muskrat Falls'!$I$65</f>
        <v>6345025.1224999996</v>
      </c>
      <c r="AR21" s="216">
        <f>+'Muskrat Falls'!$I$65</f>
        <v>6345025.1224999996</v>
      </c>
      <c r="AS21" s="216">
        <f>+'Muskrat Falls'!$I$65</f>
        <v>6345025.1224999996</v>
      </c>
      <c r="AT21" s="216">
        <f>+'Muskrat Falls'!$I$65</f>
        <v>6345025.1224999996</v>
      </c>
      <c r="AU21" s="216">
        <f>+'Muskrat Falls'!$I$65</f>
        <v>6345025.1224999996</v>
      </c>
      <c r="AV21" s="216">
        <f>+'Muskrat Falls'!$I$65</f>
        <v>6345025.1224999996</v>
      </c>
      <c r="AW21" s="216">
        <f>+'Muskrat Falls'!$I$65</f>
        <v>6345025.1224999996</v>
      </c>
      <c r="AX21" s="216">
        <f>+'Muskrat Falls'!$I$65</f>
        <v>6345025.1224999996</v>
      </c>
      <c r="AY21" s="216">
        <f>+'Muskrat Falls'!$I$65</f>
        <v>6345025.1224999996</v>
      </c>
      <c r="AZ21" s="216">
        <f>+'Muskrat Falls'!$I$65</f>
        <v>6345025.1224999996</v>
      </c>
      <c r="BA21" s="216"/>
      <c r="BB21" s="216"/>
      <c r="BC21" s="216"/>
      <c r="BD21" s="216"/>
      <c r="BE21" s="216"/>
      <c r="BF21" s="216"/>
    </row>
    <row r="22" spans="2:58" x14ac:dyDescent="0.2">
      <c r="B22" s="222" t="s">
        <v>307</v>
      </c>
      <c r="C22" s="216">
        <f>+LTA!$I$48</f>
        <v>2148359.6506666662</v>
      </c>
      <c r="D22" s="216">
        <f>+LTA!$I$48</f>
        <v>2148359.6506666662</v>
      </c>
      <c r="E22" s="216">
        <f>+LTA!$I$48</f>
        <v>2148359.6506666662</v>
      </c>
      <c r="F22" s="216">
        <f>+LTA!$I$48</f>
        <v>2148359.6506666662</v>
      </c>
      <c r="G22" s="216">
        <f>+LTA!$I$48</f>
        <v>2148359.6506666662</v>
      </c>
      <c r="H22" s="216">
        <f>+LTA!$I$48</f>
        <v>2148359.6506666662</v>
      </c>
      <c r="I22" s="216">
        <f>+LTA!$I$48</f>
        <v>2148359.6506666662</v>
      </c>
      <c r="J22" s="216">
        <f>+LTA!$I$48</f>
        <v>2148359.6506666662</v>
      </c>
      <c r="K22" s="216">
        <f>+LTA!$I$48</f>
        <v>2148359.6506666662</v>
      </c>
      <c r="L22" s="216">
        <f>+LTA!$I$48</f>
        <v>2148359.6506666662</v>
      </c>
      <c r="M22" s="216">
        <f>+LTA!$I$48</f>
        <v>2148359.6506666662</v>
      </c>
      <c r="N22" s="216">
        <f>+LTA!$I$48</f>
        <v>2148359.6506666662</v>
      </c>
      <c r="O22" s="216">
        <f>+LTA!$I$48</f>
        <v>2148359.6506666662</v>
      </c>
      <c r="P22" s="216">
        <f>+LTA!$I$48</f>
        <v>2148359.6506666662</v>
      </c>
      <c r="Q22" s="216">
        <f>+LTA!$I$48</f>
        <v>2148359.6506666662</v>
      </c>
      <c r="R22" s="216">
        <f>+LTA!$I$48</f>
        <v>2148359.6506666662</v>
      </c>
      <c r="S22" s="216">
        <f>+LTA!$I$48</f>
        <v>2148359.6506666662</v>
      </c>
      <c r="T22" s="216">
        <f>+LTA!$I$48</f>
        <v>2148359.6506666662</v>
      </c>
      <c r="U22" s="216">
        <f>+LTA!$I$48</f>
        <v>2148359.6506666662</v>
      </c>
      <c r="V22" s="216">
        <f>+LTA!$I$48</f>
        <v>2148359.6506666662</v>
      </c>
      <c r="W22" s="216">
        <f>+LTA!$I$48</f>
        <v>2148359.6506666662</v>
      </c>
      <c r="X22" s="216">
        <f>+LTA!$I$48</f>
        <v>2148359.6506666662</v>
      </c>
      <c r="Y22" s="216">
        <f>+LTA!$I$48</f>
        <v>2148359.6506666662</v>
      </c>
      <c r="Z22" s="216">
        <f>+LTA!$I$48</f>
        <v>2148359.6506666662</v>
      </c>
      <c r="AA22" s="216">
        <f>+LTA!$I$48</f>
        <v>2148359.6506666662</v>
      </c>
      <c r="AB22" s="216">
        <f>+LTA!$I$48</f>
        <v>2148359.6506666662</v>
      </c>
      <c r="AC22" s="216">
        <f>+LTA!$I$48</f>
        <v>2148359.6506666662</v>
      </c>
      <c r="AD22" s="216">
        <f>+LTA!$I$48</f>
        <v>2148359.6506666662</v>
      </c>
      <c r="AE22" s="216">
        <f>+LTA!$I$48</f>
        <v>2148359.6506666662</v>
      </c>
      <c r="AF22" s="216">
        <f>+LTA!$I$48</f>
        <v>2148359.6506666662</v>
      </c>
      <c r="AG22" s="216">
        <f>+LTA!$I$48</f>
        <v>2148359.6506666662</v>
      </c>
      <c r="AH22" s="216">
        <f>+LTA!$I$48</f>
        <v>2148359.6506666662</v>
      </c>
      <c r="AI22" s="216">
        <f>+LTA!$I$48</f>
        <v>2148359.6506666662</v>
      </c>
      <c r="AJ22" s="216">
        <f>+LTA!$I$48</f>
        <v>2148359.6506666662</v>
      </c>
      <c r="AK22" s="216">
        <f>+LTA!$I$48</f>
        <v>2148359.6506666662</v>
      </c>
      <c r="AL22" s="216">
        <f>+LTA!$I$48</f>
        <v>2148359.6506666662</v>
      </c>
      <c r="AM22" s="216">
        <f>+LTA!$I$48</f>
        <v>2148359.6506666662</v>
      </c>
      <c r="AN22" s="216">
        <f>+LTA!$I$48</f>
        <v>2148359.6506666662</v>
      </c>
      <c r="AO22" s="216">
        <f>+LTA!$I$48</f>
        <v>2148359.6506666662</v>
      </c>
      <c r="AP22" s="216">
        <f>+LTA!$I$48</f>
        <v>2148359.6506666662</v>
      </c>
      <c r="AQ22" s="216">
        <f>+LTA!$I$48</f>
        <v>2148359.6506666662</v>
      </c>
      <c r="AR22" s="216">
        <f>+LTA!$I$48</f>
        <v>2148359.6506666662</v>
      </c>
      <c r="AS22" s="216">
        <f>+LTA!$I$48</f>
        <v>2148359.6506666662</v>
      </c>
      <c r="AT22" s="216">
        <f>+LTA!$I$48</f>
        <v>2148359.6506666662</v>
      </c>
      <c r="AU22" s="216">
        <f>+LTA!$I$48</f>
        <v>2148359.6506666662</v>
      </c>
      <c r="AV22" s="216">
        <f>+LTA!$I$48</f>
        <v>2148359.6506666662</v>
      </c>
      <c r="AW22" s="216">
        <f>+LTA!$I$48</f>
        <v>2148359.6506666662</v>
      </c>
      <c r="AX22" s="216">
        <f>+LTA!$I$48</f>
        <v>2148359.6506666662</v>
      </c>
      <c r="AY22" s="216">
        <f>+LTA!$I$48</f>
        <v>2148359.6506666662</v>
      </c>
      <c r="AZ22" s="216">
        <f>+LTA!$I$48</f>
        <v>2148359.6506666662</v>
      </c>
      <c r="BA22" s="216"/>
      <c r="BB22" s="216"/>
      <c r="BC22" s="216"/>
      <c r="BD22" s="216"/>
      <c r="BE22" s="216"/>
      <c r="BF22" s="216"/>
    </row>
    <row r="23" spans="2:58" x14ac:dyDescent="0.2">
      <c r="B23" s="222" t="s">
        <v>317</v>
      </c>
      <c r="C23" s="216">
        <f>+LITL!$H$66+SOBI!I10</f>
        <v>15970623.939928573</v>
      </c>
      <c r="D23" s="216">
        <f>+LITL!$H$66+SOBI!J10</f>
        <v>15970623.939928573</v>
      </c>
      <c r="E23" s="216">
        <f>+LITL!$H$66+SOBI!K10</f>
        <v>14623123.939928573</v>
      </c>
      <c r="F23" s="216">
        <f>+LITL!$H$66+SOBI!L10</f>
        <v>15870623.939928573</v>
      </c>
      <c r="G23" s="216">
        <f>+LITL!$H$66+SOBI!M10</f>
        <v>14623123.939928573</v>
      </c>
      <c r="H23" s="216">
        <f>+LITL!$H$66+SOBI!N10</f>
        <v>15870623.939928573</v>
      </c>
      <c r="I23" s="216">
        <f>+LITL!$H$66+SOBI!O10</f>
        <v>14623123.939928573</v>
      </c>
      <c r="J23" s="216">
        <f>+LITL!$H$66+SOBI!P10</f>
        <v>15870623.939928573</v>
      </c>
      <c r="K23" s="216">
        <f>+LITL!$H$66+SOBI!Q10</f>
        <v>14623123.939928573</v>
      </c>
      <c r="L23" s="216">
        <f>+LITL!$H$66+SOBI!R10</f>
        <v>16070623.939928573</v>
      </c>
      <c r="M23" s="216">
        <f>+LITL!$H$66+SOBI!S10</f>
        <v>14623123.939928573</v>
      </c>
      <c r="N23" s="216">
        <f>+LITL!$H$66+SOBI!T10</f>
        <v>15870623.939928573</v>
      </c>
      <c r="O23" s="216">
        <f>+LITL!$H$66+SOBI!U10</f>
        <v>14623123.939928573</v>
      </c>
      <c r="P23" s="216">
        <f>+LITL!$H$66+SOBI!V10</f>
        <v>14623123.939928573</v>
      </c>
      <c r="Q23" s="216">
        <f>+LITL!$H$66+SOBI!W10</f>
        <v>14623123.939928573</v>
      </c>
      <c r="R23" s="216">
        <f>+LITL!$H$66+SOBI!X10</f>
        <v>14623123.939928573</v>
      </c>
      <c r="S23" s="216">
        <f>+LITL!$H$66+SOBI!Y10</f>
        <v>15870623.939928573</v>
      </c>
      <c r="T23" s="216">
        <f>+LITL!$H$66+SOBI!Z10</f>
        <v>14623123.939928573</v>
      </c>
      <c r="U23" s="216">
        <f>+LITL!$H$66+SOBI!AA10</f>
        <v>14623123.939928573</v>
      </c>
      <c r="V23" s="216">
        <f>+LITL!$H$66+SOBI!AB10</f>
        <v>14823123.939928573</v>
      </c>
      <c r="W23" s="216">
        <f>+LITL!$H$66+SOBI!AC10</f>
        <v>14623123.939928573</v>
      </c>
      <c r="X23" s="216">
        <f>+LITL!$H$66+SOBI!AD10</f>
        <v>15870623.939928573</v>
      </c>
      <c r="Y23" s="216">
        <f>+LITL!$H$66+SOBI!AE10</f>
        <v>14623123.939928573</v>
      </c>
      <c r="Z23" s="216">
        <f>+LITL!$H$66+SOBI!AF10</f>
        <v>14623123.939928573</v>
      </c>
      <c r="AA23" s="216">
        <f>+LITL!$H$66+SOBI!AG10</f>
        <v>14623123.939928573</v>
      </c>
      <c r="AB23" s="216">
        <f>+LITL!$H$66+SOBI!AH10</f>
        <v>14623123.939928573</v>
      </c>
      <c r="AC23" s="216">
        <f>+LITL!$H$66+SOBI!AI10</f>
        <v>15870623.939928573</v>
      </c>
      <c r="AD23" s="216">
        <f>+LITL!$H$66+SOBI!AJ10</f>
        <v>14623123.939928573</v>
      </c>
      <c r="AE23" s="216">
        <f>+LITL!$H$66+SOBI!AK10</f>
        <v>14623123.939928573</v>
      </c>
      <c r="AF23" s="216">
        <f>+LITL!$H$66+SOBI!AL10</f>
        <v>14823123.939928573</v>
      </c>
      <c r="AG23" s="216">
        <f>+LITL!$H$66+SOBI!AM10</f>
        <v>14623123.939928573</v>
      </c>
      <c r="AH23" s="216">
        <f>+LITL!$H$66+SOBI!AN10</f>
        <v>15870623.939928573</v>
      </c>
      <c r="AI23" s="216">
        <f>+LITL!$H$66+SOBI!AO10</f>
        <v>14623123.939928573</v>
      </c>
      <c r="AJ23" s="216">
        <f>+LITL!$H$66+SOBI!AP10</f>
        <v>14623123.939928573</v>
      </c>
      <c r="AK23" s="216">
        <f>+LITL!$H$66+SOBI!AQ10</f>
        <v>14623123.939928573</v>
      </c>
      <c r="AL23" s="216">
        <f>+LITL!$H$66+SOBI!AR10</f>
        <v>14623123.939928573</v>
      </c>
      <c r="AM23" s="216">
        <f>+LITL!$H$66+SOBI!AS10</f>
        <v>15870623.939928573</v>
      </c>
      <c r="AN23" s="216">
        <f>+LITL!$H$66+SOBI!AT10</f>
        <v>14623123.939928573</v>
      </c>
      <c r="AO23" s="216">
        <f>+LITL!$H$66+SOBI!AU10</f>
        <v>14623123.939928573</v>
      </c>
      <c r="AP23" s="216">
        <f>+LITL!$H$66+SOBI!AV10</f>
        <v>14823123.939928573</v>
      </c>
      <c r="AQ23" s="216">
        <f>+LITL!$H$66+SOBI!AW10</f>
        <v>14623123.939928573</v>
      </c>
      <c r="AR23" s="216">
        <f>+LITL!$H$66+SOBI!AX10</f>
        <v>15870623.939928573</v>
      </c>
      <c r="AS23" s="216">
        <f>+LITL!$H$66+SOBI!AY10</f>
        <v>14623123.939928573</v>
      </c>
      <c r="AT23" s="216">
        <f>+LITL!$H$66+SOBI!AZ10</f>
        <v>14623123.939928573</v>
      </c>
      <c r="AU23" s="216">
        <f>+LITL!$H$66+SOBI!BA10</f>
        <v>14623123.939928573</v>
      </c>
      <c r="AV23" s="216">
        <f>+LITL!$H$66+SOBI!BB10</f>
        <v>14623123.939928573</v>
      </c>
      <c r="AW23" s="216">
        <f>+LITL!$H$66+SOBI!BC10</f>
        <v>15870623.939928573</v>
      </c>
      <c r="AX23" s="216">
        <f>+LITL!$H$66+SOBI!BD10</f>
        <v>14623123.939928573</v>
      </c>
      <c r="AY23" s="216">
        <f>+LITL!$H$66+SOBI!BE10</f>
        <v>14623123.939928573</v>
      </c>
      <c r="AZ23" s="216">
        <f>+LITL!$H$66+SOBI!BF10</f>
        <v>14823123.939928573</v>
      </c>
    </row>
    <row r="24" spans="2:58" ht="13.5" thickBot="1" x14ac:dyDescent="0.25">
      <c r="B24" s="221" t="s">
        <v>304</v>
      </c>
      <c r="C24" s="223">
        <f t="shared" ref="C24:AH24" si="1">SUM(C21:C23)</f>
        <v>24464008.71309524</v>
      </c>
      <c r="D24" s="223">
        <f t="shared" si="1"/>
        <v>24464008.71309524</v>
      </c>
      <c r="E24" s="223">
        <f t="shared" si="1"/>
        <v>23116508.71309524</v>
      </c>
      <c r="F24" s="223">
        <f t="shared" si="1"/>
        <v>24364008.71309524</v>
      </c>
      <c r="G24" s="223">
        <f t="shared" si="1"/>
        <v>23116508.71309524</v>
      </c>
      <c r="H24" s="223">
        <f t="shared" si="1"/>
        <v>24364008.71309524</v>
      </c>
      <c r="I24" s="223">
        <f t="shared" si="1"/>
        <v>23116508.71309524</v>
      </c>
      <c r="J24" s="223">
        <f t="shared" si="1"/>
        <v>24364008.71309524</v>
      </c>
      <c r="K24" s="223">
        <f t="shared" si="1"/>
        <v>23116508.71309524</v>
      </c>
      <c r="L24" s="223">
        <f t="shared" si="1"/>
        <v>24564008.71309524</v>
      </c>
      <c r="M24" s="223">
        <f t="shared" si="1"/>
        <v>23116508.71309524</v>
      </c>
      <c r="N24" s="223">
        <f t="shared" si="1"/>
        <v>24364008.71309524</v>
      </c>
      <c r="O24" s="223">
        <f t="shared" si="1"/>
        <v>23116508.71309524</v>
      </c>
      <c r="P24" s="223">
        <f t="shared" si="1"/>
        <v>23116508.71309524</v>
      </c>
      <c r="Q24" s="223">
        <f t="shared" si="1"/>
        <v>23116508.71309524</v>
      </c>
      <c r="R24" s="223">
        <f t="shared" si="1"/>
        <v>23116508.71309524</v>
      </c>
      <c r="S24" s="223">
        <f t="shared" si="1"/>
        <v>24364008.71309524</v>
      </c>
      <c r="T24" s="223">
        <f t="shared" si="1"/>
        <v>23116508.71309524</v>
      </c>
      <c r="U24" s="223">
        <f t="shared" si="1"/>
        <v>23116508.71309524</v>
      </c>
      <c r="V24" s="223">
        <f t="shared" si="1"/>
        <v>23316508.71309524</v>
      </c>
      <c r="W24" s="223">
        <f t="shared" si="1"/>
        <v>23116508.71309524</v>
      </c>
      <c r="X24" s="223">
        <f t="shared" si="1"/>
        <v>24364008.71309524</v>
      </c>
      <c r="Y24" s="223">
        <f t="shared" si="1"/>
        <v>23116508.71309524</v>
      </c>
      <c r="Z24" s="223">
        <f t="shared" si="1"/>
        <v>23116508.71309524</v>
      </c>
      <c r="AA24" s="223">
        <f t="shared" si="1"/>
        <v>23116508.71309524</v>
      </c>
      <c r="AB24" s="223">
        <f t="shared" si="1"/>
        <v>23116508.71309524</v>
      </c>
      <c r="AC24" s="223">
        <f t="shared" si="1"/>
        <v>24364008.71309524</v>
      </c>
      <c r="AD24" s="223">
        <f t="shared" si="1"/>
        <v>23116508.71309524</v>
      </c>
      <c r="AE24" s="223">
        <f t="shared" si="1"/>
        <v>23116508.71309524</v>
      </c>
      <c r="AF24" s="223">
        <f t="shared" si="1"/>
        <v>23316508.71309524</v>
      </c>
      <c r="AG24" s="223">
        <f t="shared" si="1"/>
        <v>23116508.71309524</v>
      </c>
      <c r="AH24" s="223">
        <f t="shared" si="1"/>
        <v>24364008.71309524</v>
      </c>
      <c r="AI24" s="223">
        <f t="shared" ref="AI24:AZ24" si="2">SUM(AI21:AI23)</f>
        <v>23116508.71309524</v>
      </c>
      <c r="AJ24" s="223">
        <f t="shared" si="2"/>
        <v>23116508.71309524</v>
      </c>
      <c r="AK24" s="223">
        <f t="shared" si="2"/>
        <v>23116508.71309524</v>
      </c>
      <c r="AL24" s="223">
        <f t="shared" si="2"/>
        <v>23116508.71309524</v>
      </c>
      <c r="AM24" s="223">
        <f t="shared" si="2"/>
        <v>24364008.71309524</v>
      </c>
      <c r="AN24" s="223">
        <f t="shared" si="2"/>
        <v>23116508.71309524</v>
      </c>
      <c r="AO24" s="223">
        <f t="shared" si="2"/>
        <v>23116508.71309524</v>
      </c>
      <c r="AP24" s="223">
        <f t="shared" si="2"/>
        <v>23316508.71309524</v>
      </c>
      <c r="AQ24" s="223">
        <f t="shared" si="2"/>
        <v>23116508.71309524</v>
      </c>
      <c r="AR24" s="223">
        <f t="shared" si="2"/>
        <v>24364008.71309524</v>
      </c>
      <c r="AS24" s="223">
        <f t="shared" si="2"/>
        <v>23116508.71309524</v>
      </c>
      <c r="AT24" s="223">
        <f t="shared" si="2"/>
        <v>23116508.71309524</v>
      </c>
      <c r="AU24" s="223">
        <f t="shared" si="2"/>
        <v>23116508.71309524</v>
      </c>
      <c r="AV24" s="223">
        <f t="shared" si="2"/>
        <v>23116508.71309524</v>
      </c>
      <c r="AW24" s="223">
        <f t="shared" si="2"/>
        <v>24364008.71309524</v>
      </c>
      <c r="AX24" s="223">
        <f t="shared" si="2"/>
        <v>23116508.71309524</v>
      </c>
      <c r="AY24" s="223">
        <f t="shared" si="2"/>
        <v>23116508.71309524</v>
      </c>
      <c r="AZ24" s="223">
        <f t="shared" si="2"/>
        <v>23316508.71309524</v>
      </c>
    </row>
    <row r="25" spans="2:58" ht="13.5" thickTop="1" x14ac:dyDescent="0.2">
      <c r="H25" s="214">
        <v>1</v>
      </c>
      <c r="I25" s="214">
        <v>2</v>
      </c>
      <c r="J25" s="214">
        <v>3</v>
      </c>
      <c r="K25" s="214">
        <v>4</v>
      </c>
      <c r="L25" s="214">
        <v>5</v>
      </c>
      <c r="M25" s="214">
        <v>6</v>
      </c>
      <c r="N25" s="214">
        <v>7</v>
      </c>
      <c r="O25" s="214">
        <v>8</v>
      </c>
      <c r="P25" s="214">
        <v>9</v>
      </c>
      <c r="Q25" s="214">
        <v>10</v>
      </c>
      <c r="R25" s="214">
        <v>11</v>
      </c>
      <c r="S25" s="214">
        <v>12</v>
      </c>
      <c r="T25" s="214">
        <v>13</v>
      </c>
      <c r="U25" s="214">
        <v>14</v>
      </c>
      <c r="V25" s="214">
        <v>15</v>
      </c>
      <c r="W25" s="214">
        <v>16</v>
      </c>
      <c r="X25" s="214">
        <v>17</v>
      </c>
      <c r="Y25" s="214">
        <v>18</v>
      </c>
      <c r="Z25" s="214">
        <v>19</v>
      </c>
      <c r="AA25" s="214">
        <v>20</v>
      </c>
      <c r="AB25" s="214">
        <v>21</v>
      </c>
      <c r="AC25" s="214">
        <v>22</v>
      </c>
      <c r="AD25" s="214">
        <v>23</v>
      </c>
      <c r="AE25" s="214">
        <v>24</v>
      </c>
      <c r="AF25" s="214">
        <v>25</v>
      </c>
      <c r="AG25" s="214">
        <v>26</v>
      </c>
      <c r="AH25" s="214">
        <v>27</v>
      </c>
      <c r="AI25" s="214">
        <v>28</v>
      </c>
      <c r="AJ25" s="214">
        <v>29</v>
      </c>
      <c r="AK25" s="214">
        <v>30</v>
      </c>
      <c r="AL25" s="214">
        <v>31</v>
      </c>
      <c r="AM25" s="214">
        <v>32</v>
      </c>
      <c r="AN25" s="214">
        <v>33</v>
      </c>
      <c r="AO25" s="214">
        <v>34</v>
      </c>
      <c r="AP25" s="214">
        <v>35</v>
      </c>
      <c r="AQ25" s="214">
        <v>36</v>
      </c>
      <c r="AR25" s="214">
        <v>37</v>
      </c>
      <c r="AS25" s="214">
        <v>38</v>
      </c>
      <c r="AT25" s="214">
        <v>39</v>
      </c>
      <c r="AU25" s="214">
        <v>40</v>
      </c>
      <c r="AV25" s="214">
        <v>41</v>
      </c>
      <c r="AW25" s="214">
        <v>42</v>
      </c>
      <c r="AX25" s="214">
        <v>43</v>
      </c>
      <c r="AY25" s="214">
        <v>44</v>
      </c>
      <c r="AZ25" s="214">
        <v>45</v>
      </c>
    </row>
    <row r="26" spans="2:58" x14ac:dyDescent="0.2">
      <c r="B26" s="214" t="s">
        <v>380</v>
      </c>
    </row>
    <row r="27" spans="2:58" x14ac:dyDescent="0.2">
      <c r="B27" s="217"/>
      <c r="C27" s="214">
        <v>2017</v>
      </c>
      <c r="D27" s="214">
        <f>C27+1</f>
        <v>2018</v>
      </c>
      <c r="E27" s="214">
        <f t="shared" ref="E27:AZ27" si="3">D27+1</f>
        <v>2019</v>
      </c>
      <c r="F27" s="214">
        <f t="shared" si="3"/>
        <v>2020</v>
      </c>
      <c r="G27" s="214">
        <f t="shared" si="3"/>
        <v>2021</v>
      </c>
      <c r="H27" s="214">
        <f t="shared" si="3"/>
        <v>2022</v>
      </c>
      <c r="I27" s="214">
        <f t="shared" si="3"/>
        <v>2023</v>
      </c>
      <c r="J27" s="214">
        <f t="shared" si="3"/>
        <v>2024</v>
      </c>
      <c r="K27" s="214">
        <f t="shared" si="3"/>
        <v>2025</v>
      </c>
      <c r="L27" s="214">
        <f t="shared" si="3"/>
        <v>2026</v>
      </c>
      <c r="M27" s="214">
        <f t="shared" si="3"/>
        <v>2027</v>
      </c>
      <c r="N27" s="214">
        <f t="shared" si="3"/>
        <v>2028</v>
      </c>
      <c r="O27" s="214">
        <f t="shared" si="3"/>
        <v>2029</v>
      </c>
      <c r="P27" s="214">
        <f t="shared" si="3"/>
        <v>2030</v>
      </c>
      <c r="Q27" s="214">
        <f t="shared" si="3"/>
        <v>2031</v>
      </c>
      <c r="R27" s="214">
        <f t="shared" si="3"/>
        <v>2032</v>
      </c>
      <c r="S27" s="214">
        <f t="shared" si="3"/>
        <v>2033</v>
      </c>
      <c r="T27" s="214">
        <f t="shared" si="3"/>
        <v>2034</v>
      </c>
      <c r="U27" s="214">
        <f t="shared" si="3"/>
        <v>2035</v>
      </c>
      <c r="V27" s="214">
        <f t="shared" si="3"/>
        <v>2036</v>
      </c>
      <c r="W27" s="214">
        <f t="shared" si="3"/>
        <v>2037</v>
      </c>
      <c r="X27" s="214">
        <f t="shared" si="3"/>
        <v>2038</v>
      </c>
      <c r="Y27" s="214">
        <f t="shared" si="3"/>
        <v>2039</v>
      </c>
      <c r="Z27" s="214">
        <f t="shared" si="3"/>
        <v>2040</v>
      </c>
      <c r="AA27" s="214">
        <f t="shared" si="3"/>
        <v>2041</v>
      </c>
      <c r="AB27" s="214">
        <f t="shared" si="3"/>
        <v>2042</v>
      </c>
      <c r="AC27" s="214">
        <f t="shared" si="3"/>
        <v>2043</v>
      </c>
      <c r="AD27" s="214">
        <f t="shared" si="3"/>
        <v>2044</v>
      </c>
      <c r="AE27" s="214">
        <f t="shared" si="3"/>
        <v>2045</v>
      </c>
      <c r="AF27" s="214">
        <f t="shared" si="3"/>
        <v>2046</v>
      </c>
      <c r="AG27" s="214">
        <f t="shared" si="3"/>
        <v>2047</v>
      </c>
      <c r="AH27" s="214">
        <f t="shared" si="3"/>
        <v>2048</v>
      </c>
      <c r="AI27" s="214">
        <f t="shared" si="3"/>
        <v>2049</v>
      </c>
      <c r="AJ27" s="214">
        <f t="shared" si="3"/>
        <v>2050</v>
      </c>
      <c r="AK27" s="214">
        <f t="shared" si="3"/>
        <v>2051</v>
      </c>
      <c r="AL27" s="214">
        <f t="shared" si="3"/>
        <v>2052</v>
      </c>
      <c r="AM27" s="214">
        <f t="shared" si="3"/>
        <v>2053</v>
      </c>
      <c r="AN27" s="214">
        <f t="shared" si="3"/>
        <v>2054</v>
      </c>
      <c r="AO27" s="214">
        <f t="shared" si="3"/>
        <v>2055</v>
      </c>
      <c r="AP27" s="214">
        <f t="shared" si="3"/>
        <v>2056</v>
      </c>
      <c r="AQ27" s="214">
        <f t="shared" si="3"/>
        <v>2057</v>
      </c>
      <c r="AR27" s="214">
        <f t="shared" si="3"/>
        <v>2058</v>
      </c>
      <c r="AS27" s="214">
        <f t="shared" si="3"/>
        <v>2059</v>
      </c>
      <c r="AT27" s="214">
        <f t="shared" si="3"/>
        <v>2060</v>
      </c>
      <c r="AU27" s="214">
        <f t="shared" si="3"/>
        <v>2061</v>
      </c>
      <c r="AV27" s="214">
        <f t="shared" si="3"/>
        <v>2062</v>
      </c>
      <c r="AW27" s="214">
        <f t="shared" si="3"/>
        <v>2063</v>
      </c>
      <c r="AX27" s="214">
        <f t="shared" si="3"/>
        <v>2064</v>
      </c>
      <c r="AY27" s="214">
        <f t="shared" si="3"/>
        <v>2065</v>
      </c>
      <c r="AZ27" s="214">
        <f t="shared" si="3"/>
        <v>2066</v>
      </c>
    </row>
    <row r="28" spans="2:58" x14ac:dyDescent="0.2">
      <c r="B28" s="214" t="s">
        <v>381</v>
      </c>
    </row>
    <row r="29" spans="2:58" x14ac:dyDescent="0.2">
      <c r="B29" s="281">
        <v>2.5000000000000001E-2</v>
      </c>
      <c r="C29" s="282">
        <f>(1+B29)^5</f>
        <v>1.1314082128906247</v>
      </c>
      <c r="D29" s="214">
        <f>C29*(1+$B29)</f>
        <v>1.1596934182128902</v>
      </c>
      <c r="E29" s="214">
        <f t="shared" ref="E29:AZ29" si="4">D29*(1+$B29)</f>
        <v>1.1886857536682123</v>
      </c>
      <c r="F29" s="214">
        <f t="shared" si="4"/>
        <v>1.2184028975099175</v>
      </c>
      <c r="G29" s="214">
        <f t="shared" si="4"/>
        <v>1.2488629699476652</v>
      </c>
      <c r="H29" s="214">
        <f t="shared" si="4"/>
        <v>1.2800845441963566</v>
      </c>
      <c r="I29" s="214">
        <f t="shared" si="4"/>
        <v>1.3120866578012655</v>
      </c>
      <c r="J29" s="214">
        <f t="shared" si="4"/>
        <v>1.3448888242462971</v>
      </c>
      <c r="K29" s="214">
        <f t="shared" si="4"/>
        <v>1.3785110448524545</v>
      </c>
      <c r="L29" s="214">
        <f t="shared" si="4"/>
        <v>1.4129738209737657</v>
      </c>
      <c r="M29" s="214">
        <f t="shared" si="4"/>
        <v>1.4482981664981096</v>
      </c>
      <c r="N29" s="214">
        <f t="shared" si="4"/>
        <v>1.4845056206605622</v>
      </c>
      <c r="O29" s="214">
        <f t="shared" si="4"/>
        <v>1.5216182611770761</v>
      </c>
      <c r="P29" s="214">
        <f t="shared" si="4"/>
        <v>1.5596587177065029</v>
      </c>
      <c r="Q29" s="214">
        <f t="shared" si="4"/>
        <v>1.5986501856491653</v>
      </c>
      <c r="R29" s="214">
        <f t="shared" si="4"/>
        <v>1.6386164402903942</v>
      </c>
      <c r="S29" s="214">
        <f t="shared" si="4"/>
        <v>1.6795818512976539</v>
      </c>
      <c r="T29" s="214">
        <f t="shared" si="4"/>
        <v>1.721571397580095</v>
      </c>
      <c r="U29" s="214">
        <f t="shared" si="4"/>
        <v>1.7646106825195973</v>
      </c>
      <c r="V29" s="214">
        <f t="shared" si="4"/>
        <v>1.8087259495825871</v>
      </c>
      <c r="W29" s="214">
        <f t="shared" si="4"/>
        <v>1.8539440983221516</v>
      </c>
      <c r="X29" s="214">
        <f t="shared" si="4"/>
        <v>1.9002927007802053</v>
      </c>
      <c r="Y29" s="214">
        <f t="shared" si="4"/>
        <v>1.9478000182997102</v>
      </c>
      <c r="Z29" s="214">
        <f t="shared" si="4"/>
        <v>1.9964950187572028</v>
      </c>
      <c r="AA29" s="214">
        <f t="shared" si="4"/>
        <v>2.0464073942261325</v>
      </c>
      <c r="AB29" s="214">
        <f t="shared" si="4"/>
        <v>2.0975675790817858</v>
      </c>
      <c r="AC29" s="214">
        <f t="shared" si="4"/>
        <v>2.1500067685588302</v>
      </c>
      <c r="AD29" s="214">
        <f t="shared" si="4"/>
        <v>2.2037569377728006</v>
      </c>
      <c r="AE29" s="214">
        <f t="shared" si="4"/>
        <v>2.2588508612171205</v>
      </c>
      <c r="AF29" s="214">
        <f t="shared" si="4"/>
        <v>2.3153221327475482</v>
      </c>
      <c r="AG29" s="214">
        <f t="shared" si="4"/>
        <v>2.3732051860662366</v>
      </c>
      <c r="AH29" s="214">
        <f t="shared" si="4"/>
        <v>2.4325353157178924</v>
      </c>
      <c r="AI29" s="214">
        <f t="shared" si="4"/>
        <v>2.4933486986108395</v>
      </c>
      <c r="AJ29" s="214">
        <f t="shared" si="4"/>
        <v>2.5556824160761105</v>
      </c>
      <c r="AK29" s="214">
        <f t="shared" si="4"/>
        <v>2.6195744764780131</v>
      </c>
      <c r="AL29" s="214">
        <f t="shared" si="4"/>
        <v>2.6850638383899632</v>
      </c>
      <c r="AM29" s="214">
        <f t="shared" si="4"/>
        <v>2.7521904343497119</v>
      </c>
      <c r="AN29" s="214">
        <f t="shared" si="4"/>
        <v>2.8209951952084547</v>
      </c>
      <c r="AO29" s="214">
        <f t="shared" si="4"/>
        <v>2.8915200750886658</v>
      </c>
      <c r="AP29" s="214">
        <f t="shared" si="4"/>
        <v>2.9638080769658823</v>
      </c>
      <c r="AQ29" s="214">
        <f t="shared" si="4"/>
        <v>3.0379032788900293</v>
      </c>
      <c r="AR29" s="214">
        <f t="shared" si="4"/>
        <v>3.1138508608622799</v>
      </c>
      <c r="AS29" s="214">
        <f t="shared" si="4"/>
        <v>3.1916971323838368</v>
      </c>
      <c r="AT29" s="214">
        <f t="shared" si="4"/>
        <v>3.2714895606934324</v>
      </c>
      <c r="AU29" s="214">
        <f t="shared" si="4"/>
        <v>3.353276799710768</v>
      </c>
      <c r="AV29" s="214">
        <f t="shared" si="4"/>
        <v>3.437108719703537</v>
      </c>
      <c r="AW29" s="214">
        <f t="shared" si="4"/>
        <v>3.523036437696125</v>
      </c>
      <c r="AX29" s="214">
        <f t="shared" si="4"/>
        <v>3.6111123486385277</v>
      </c>
      <c r="AY29" s="214">
        <f t="shared" si="4"/>
        <v>3.7013901573544907</v>
      </c>
      <c r="AZ29" s="214">
        <f t="shared" si="4"/>
        <v>3.7939249112883529</v>
      </c>
    </row>
    <row r="31" spans="2:58" x14ac:dyDescent="0.2">
      <c r="B31" s="283" t="s">
        <v>382</v>
      </c>
    </row>
    <row r="32" spans="2:58" x14ac:dyDescent="0.2">
      <c r="B32" s="283" t="s">
        <v>383</v>
      </c>
      <c r="C32" s="285">
        <v>0</v>
      </c>
      <c r="D32" s="285">
        <f t="shared" ref="D32:AZ32" si="5">D21*D$29</f>
        <v>7358283.8729586871</v>
      </c>
      <c r="E32" s="285">
        <f t="shared" si="5"/>
        <v>7542240.9697826533</v>
      </c>
      <c r="F32" s="285">
        <f t="shared" si="5"/>
        <v>7730796.9940272188</v>
      </c>
      <c r="G32" s="285">
        <f t="shared" si="5"/>
        <v>7924066.9188778978</v>
      </c>
      <c r="H32" s="285">
        <f t="shared" si="5"/>
        <v>8122168.591849844</v>
      </c>
      <c r="I32" s="285">
        <f t="shared" si="5"/>
        <v>8325222.80664609</v>
      </c>
      <c r="J32" s="285">
        <f t="shared" si="5"/>
        <v>8533353.376812242</v>
      </c>
      <c r="K32" s="285">
        <f t="shared" si="5"/>
        <v>8746687.2112325467</v>
      </c>
      <c r="L32" s="285">
        <f t="shared" si="5"/>
        <v>8965354.3915133607</v>
      </c>
      <c r="M32" s="285">
        <f t="shared" si="5"/>
        <v>9189488.2513011936</v>
      </c>
      <c r="N32" s="285">
        <f t="shared" si="5"/>
        <v>9419225.4575837217</v>
      </c>
      <c r="O32" s="285">
        <f t="shared" si="5"/>
        <v>9654706.0940233134</v>
      </c>
      <c r="P32" s="285">
        <f t="shared" si="5"/>
        <v>9896073.7463738956</v>
      </c>
      <c r="Q32" s="285">
        <f t="shared" si="5"/>
        <v>10143475.590033242</v>
      </c>
      <c r="R32" s="285">
        <f t="shared" si="5"/>
        <v>10397062.479784071</v>
      </c>
      <c r="S32" s="285">
        <f t="shared" si="5"/>
        <v>10656989.041778672</v>
      </c>
      <c r="T32" s="285">
        <f t="shared" si="5"/>
        <v>10923413.767823137</v>
      </c>
      <c r="U32" s="285">
        <f t="shared" si="5"/>
        <v>11196499.112018716</v>
      </c>
      <c r="V32" s="285">
        <f t="shared" si="5"/>
        <v>11476411.589819184</v>
      </c>
      <c r="W32" s="285">
        <f t="shared" si="5"/>
        <v>11763321.879564662</v>
      </c>
      <c r="X32" s="285">
        <f t="shared" si="5"/>
        <v>12057404.926553776</v>
      </c>
      <c r="Y32" s="285">
        <f t="shared" si="5"/>
        <v>12358840.04971762</v>
      </c>
      <c r="Z32" s="285">
        <f t="shared" si="5"/>
        <v>12667811.050960559</v>
      </c>
      <c r="AA32" s="285">
        <f t="shared" si="5"/>
        <v>12984506.327234572</v>
      </c>
      <c r="AB32" s="285">
        <f t="shared" si="5"/>
        <v>13309118.985415436</v>
      </c>
      <c r="AC32" s="285">
        <f t="shared" si="5"/>
        <v>13641846.960050819</v>
      </c>
      <c r="AD32" s="285">
        <f t="shared" si="5"/>
        <v>13982893.134052088</v>
      </c>
      <c r="AE32" s="285">
        <f t="shared" si="5"/>
        <v>14332465.462403391</v>
      </c>
      <c r="AF32" s="285">
        <f t="shared" si="5"/>
        <v>14690777.098963473</v>
      </c>
      <c r="AG32" s="285">
        <f t="shared" si="5"/>
        <v>15058046.526437558</v>
      </c>
      <c r="AH32" s="285">
        <f t="shared" si="5"/>
        <v>15434497.689598495</v>
      </c>
      <c r="AI32" s="285">
        <f t="shared" si="5"/>
        <v>15820360.131838456</v>
      </c>
      <c r="AJ32" s="285">
        <f t="shared" si="5"/>
        <v>16215869.135134418</v>
      </c>
      <c r="AK32" s="285">
        <f t="shared" si="5"/>
        <v>16621265.863512777</v>
      </c>
      <c r="AL32" s="285">
        <f t="shared" si="5"/>
        <v>17036797.510100596</v>
      </c>
      <c r="AM32" s="285">
        <f t="shared" si="5"/>
        <v>17462717.447853107</v>
      </c>
      <c r="AN32" s="285">
        <f t="shared" si="5"/>
        <v>17899285.384049434</v>
      </c>
      <c r="AO32" s="285">
        <f t="shared" si="5"/>
        <v>18346767.51865067</v>
      </c>
      <c r="AP32" s="285">
        <f t="shared" si="5"/>
        <v>18805436.706616934</v>
      </c>
      <c r="AQ32" s="285">
        <f t="shared" si="5"/>
        <v>19275572.62428236</v>
      </c>
      <c r="AR32" s="285">
        <f t="shared" si="5"/>
        <v>19757461.939889416</v>
      </c>
      <c r="AS32" s="285">
        <f t="shared" si="5"/>
        <v>20251398.48838665</v>
      </c>
      <c r="AT32" s="285">
        <f t="shared" si="5"/>
        <v>20757683.450596318</v>
      </c>
      <c r="AU32" s="285">
        <f t="shared" si="5"/>
        <v>21276625.536861222</v>
      </c>
      <c r="AV32" s="285">
        <f t="shared" si="5"/>
        <v>21808541.17528275</v>
      </c>
      <c r="AW32" s="285">
        <f t="shared" si="5"/>
        <v>22353754.704664819</v>
      </c>
      <c r="AX32" s="285">
        <f t="shared" si="5"/>
        <v>22912598.572281435</v>
      </c>
      <c r="AY32" s="285">
        <f t="shared" si="5"/>
        <v>23485413.536588471</v>
      </c>
      <c r="AZ32" s="285">
        <f t="shared" si="5"/>
        <v>24072548.875003181</v>
      </c>
      <c r="BA32" s="285"/>
      <c r="BB32" s="285"/>
      <c r="BC32" s="285"/>
      <c r="BD32" s="285"/>
      <c r="BE32" s="285"/>
      <c r="BF32" s="285"/>
    </row>
    <row r="33" spans="2:63" x14ac:dyDescent="0.2">
      <c r="B33" s="283" t="s">
        <v>384</v>
      </c>
      <c r="C33" s="285">
        <v>0</v>
      </c>
      <c r="D33" s="285">
        <f t="shared" ref="D33:AZ33" si="6">D22*D$29</f>
        <v>2491438.546832277</v>
      </c>
      <c r="E33" s="285">
        <f t="shared" si="6"/>
        <v>2553724.5105030835</v>
      </c>
      <c r="F33" s="285">
        <f t="shared" si="6"/>
        <v>2617567.6232656604</v>
      </c>
      <c r="G33" s="285">
        <f t="shared" si="6"/>
        <v>2683006.8138473015</v>
      </c>
      <c r="H33" s="285">
        <f t="shared" si="6"/>
        <v>2750081.9841934834</v>
      </c>
      <c r="I33" s="285">
        <f t="shared" si="6"/>
        <v>2818834.0337983207</v>
      </c>
      <c r="J33" s="285">
        <f t="shared" si="6"/>
        <v>2889304.8846432781</v>
      </c>
      <c r="K33" s="285">
        <f t="shared" si="6"/>
        <v>2961537.50675936</v>
      </c>
      <c r="L33" s="285">
        <f t="shared" si="6"/>
        <v>3035575.9444283438</v>
      </c>
      <c r="M33" s="285">
        <f t="shared" si="6"/>
        <v>3111465.3430390521</v>
      </c>
      <c r="N33" s="285">
        <f t="shared" si="6"/>
        <v>3189251.976615028</v>
      </c>
      <c r="O33" s="285">
        <f t="shared" si="6"/>
        <v>3268983.2760304031</v>
      </c>
      <c r="P33" s="285">
        <f t="shared" si="6"/>
        <v>3350707.8579311632</v>
      </c>
      <c r="Q33" s="285">
        <f t="shared" si="6"/>
        <v>3434475.5543794418</v>
      </c>
      <c r="R33" s="285">
        <f t="shared" si="6"/>
        <v>3520337.4432389275</v>
      </c>
      <c r="S33" s="285">
        <f t="shared" si="6"/>
        <v>3608345.8793199002</v>
      </c>
      <c r="T33" s="285">
        <f t="shared" si="6"/>
        <v>3698554.5263028974</v>
      </c>
      <c r="U33" s="285">
        <f t="shared" si="6"/>
        <v>3791018.3894604696</v>
      </c>
      <c r="V33" s="285">
        <f t="shared" si="6"/>
        <v>3885793.8491969812</v>
      </c>
      <c r="W33" s="285">
        <f t="shared" si="6"/>
        <v>3982938.6954269051</v>
      </c>
      <c r="X33" s="285">
        <f t="shared" si="6"/>
        <v>4082512.1628125776</v>
      </c>
      <c r="Y33" s="285">
        <f t="shared" si="6"/>
        <v>4184574.9668828915</v>
      </c>
      <c r="Z33" s="285">
        <f t="shared" si="6"/>
        <v>4289189.3410549639</v>
      </c>
      <c r="AA33" s="285">
        <f t="shared" si="6"/>
        <v>4396419.0745813372</v>
      </c>
      <c r="AB33" s="285">
        <f t="shared" si="6"/>
        <v>4506329.5514458697</v>
      </c>
      <c r="AC33" s="285">
        <f t="shared" si="6"/>
        <v>4618987.7902320167</v>
      </c>
      <c r="AD33" s="285">
        <f t="shared" si="6"/>
        <v>4734462.4849878158</v>
      </c>
      <c r="AE33" s="285">
        <f t="shared" si="6"/>
        <v>4852824.0471125115</v>
      </c>
      <c r="AF33" s="285">
        <f t="shared" si="6"/>
        <v>4974144.6482903231</v>
      </c>
      <c r="AG33" s="285">
        <f t="shared" si="6"/>
        <v>5098498.2644975809</v>
      </c>
      <c r="AH33" s="285">
        <f t="shared" si="6"/>
        <v>5225960.7211100198</v>
      </c>
      <c r="AI33" s="285">
        <f t="shared" si="6"/>
        <v>5356609.7391377697</v>
      </c>
      <c r="AJ33" s="285">
        <f t="shared" si="6"/>
        <v>5490524.9826162141</v>
      </c>
      <c r="AK33" s="285">
        <f t="shared" si="6"/>
        <v>5627788.1071816189</v>
      </c>
      <c r="AL33" s="285">
        <f t="shared" si="6"/>
        <v>5768482.809861159</v>
      </c>
      <c r="AM33" s="285">
        <f t="shared" si="6"/>
        <v>5912694.8801076878</v>
      </c>
      <c r="AN33" s="285">
        <f t="shared" si="6"/>
        <v>6060512.2521103797</v>
      </c>
      <c r="AO33" s="285">
        <f t="shared" si="6"/>
        <v>6212025.0584131386</v>
      </c>
      <c r="AP33" s="285">
        <f t="shared" si="6"/>
        <v>6367325.6848734664</v>
      </c>
      <c r="AQ33" s="285">
        <f t="shared" si="6"/>
        <v>6526508.8269953029</v>
      </c>
      <c r="AR33" s="285">
        <f t="shared" si="6"/>
        <v>6689671.5476701856</v>
      </c>
      <c r="AS33" s="285">
        <f t="shared" si="6"/>
        <v>6856913.33636194</v>
      </c>
      <c r="AT33" s="285">
        <f t="shared" si="6"/>
        <v>7028336.1697709877</v>
      </c>
      <c r="AU33" s="285">
        <f t="shared" si="6"/>
        <v>7204044.5740152616</v>
      </c>
      <c r="AV33" s="285">
        <f t="shared" si="6"/>
        <v>7384145.6883656429</v>
      </c>
      <c r="AW33" s="285">
        <f t="shared" si="6"/>
        <v>7568749.3305747835</v>
      </c>
      <c r="AX33" s="285">
        <f t="shared" si="6"/>
        <v>7757968.0638391515</v>
      </c>
      <c r="AY33" s="285">
        <f t="shared" si="6"/>
        <v>7951917.2654351303</v>
      </c>
      <c r="AZ33" s="285">
        <f t="shared" si="6"/>
        <v>8150715.1970710084</v>
      </c>
      <c r="BA33" s="285"/>
      <c r="BB33" s="285"/>
      <c r="BC33" s="285"/>
      <c r="BD33" s="285"/>
      <c r="BE33" s="285"/>
      <c r="BF33" s="285"/>
    </row>
    <row r="34" spans="2:63" x14ac:dyDescent="0.2">
      <c r="B34" s="283" t="s">
        <v>385</v>
      </c>
      <c r="C34" s="285">
        <f>C44</f>
        <v>9910074.6500355266</v>
      </c>
      <c r="D34" s="285">
        <f t="shared" ref="D34:AZ34" si="7">D23*D29</f>
        <v>18521027.467888381</v>
      </c>
      <c r="E34" s="285">
        <f t="shared" si="7"/>
        <v>17382299.101517674</v>
      </c>
      <c r="F34" s="285">
        <f t="shared" si="7"/>
        <v>19336814.193699237</v>
      </c>
      <c r="G34" s="285">
        <f t="shared" si="7"/>
        <v>18262277.993532002</v>
      </c>
      <c r="H34" s="285">
        <f t="shared" si="7"/>
        <v>20315740.412255254</v>
      </c>
      <c r="I34" s="285">
        <f t="shared" si="7"/>
        <v>19186805.816954557</v>
      </c>
      <c r="J34" s="285">
        <f t="shared" si="7"/>
        <v>21344224.770625673</v>
      </c>
      <c r="K34" s="285">
        <f t="shared" si="7"/>
        <v>20158137.861437876</v>
      </c>
      <c r="L34" s="285">
        <f t="shared" si="7"/>
        <v>22707370.913833346</v>
      </c>
      <c r="M34" s="285">
        <f t="shared" si="7"/>
        <v>21178643.590673164</v>
      </c>
      <c r="N34" s="285">
        <f t="shared" si="7"/>
        <v>23560030.442214042</v>
      </c>
      <c r="O34" s="285">
        <f t="shared" si="7"/>
        <v>22250812.422450989</v>
      </c>
      <c r="P34" s="285">
        <f t="shared" si="7"/>
        <v>22807082.733012263</v>
      </c>
      <c r="Q34" s="285">
        <f t="shared" si="7"/>
        <v>23377259.801337566</v>
      </c>
      <c r="R34" s="285">
        <f t="shared" si="7"/>
        <v>23961691.296371002</v>
      </c>
      <c r="S34" s="285">
        <f t="shared" si="7"/>
        <v>26656011.938274097</v>
      </c>
      <c r="T34" s="285">
        <f t="shared" si="7"/>
        <v>25174751.918249778</v>
      </c>
      <c r="U34" s="285">
        <f t="shared" si="7"/>
        <v>25804120.716206022</v>
      </c>
      <c r="V34" s="285">
        <f t="shared" si="7"/>
        <v>26810968.924027689</v>
      </c>
      <c r="W34" s="285">
        <f t="shared" si="7"/>
        <v>27110454.327463947</v>
      </c>
      <c r="X34" s="285">
        <f t="shared" si="7"/>
        <v>30158830.829873849</v>
      </c>
      <c r="Y34" s="285">
        <f t="shared" si="7"/>
        <v>28482921.077791803</v>
      </c>
      <c r="Z34" s="285">
        <f t="shared" si="7"/>
        <v>29194994.104736596</v>
      </c>
      <c r="AA34" s="285">
        <f t="shared" si="7"/>
        <v>29924868.957355008</v>
      </c>
      <c r="AB34" s="285">
        <f t="shared" si="7"/>
        <v>30672990.681288883</v>
      </c>
      <c r="AC34" s="285">
        <f t="shared" si="7"/>
        <v>34121948.892098241</v>
      </c>
      <c r="AD34" s="285">
        <f t="shared" si="7"/>
        <v>32225810.83452912</v>
      </c>
      <c r="AE34" s="285">
        <f t="shared" si="7"/>
        <v>33031456.105392348</v>
      </c>
      <c r="AF34" s="285">
        <f t="shared" si="7"/>
        <v>34320306.93457666</v>
      </c>
      <c r="AG34" s="285">
        <f t="shared" si="7"/>
        <v>34703673.570727825</v>
      </c>
      <c r="AH34" s="285">
        <f t="shared" si="7"/>
        <v>38605853.216354094</v>
      </c>
      <c r="AI34" s="285">
        <f t="shared" si="7"/>
        <v>36460547.045245916</v>
      </c>
      <c r="AJ34" s="285">
        <f t="shared" si="7"/>
        <v>37372060.721377067</v>
      </c>
      <c r="AK34" s="285">
        <f t="shared" si="7"/>
        <v>38306362.239411488</v>
      </c>
      <c r="AL34" s="285">
        <f t="shared" si="7"/>
        <v>39264021.295396775</v>
      </c>
      <c r="AM34" s="285">
        <f t="shared" si="7"/>
        <v>43678979.39463295</v>
      </c>
      <c r="AN34" s="285">
        <f t="shared" si="7"/>
        <v>41251762.37347623</v>
      </c>
      <c r="AO34" s="285">
        <f t="shared" si="7"/>
        <v>42283056.43281313</v>
      </c>
      <c r="AP34" s="285">
        <f t="shared" si="7"/>
        <v>43932894.459026635</v>
      </c>
      <c r="AQ34" s="285">
        <f t="shared" si="7"/>
        <v>44423636.164724298</v>
      </c>
      <c r="AR34" s="285">
        <f t="shared" si="7"/>
        <v>49418756.017768092</v>
      </c>
      <c r="AS34" s="285">
        <f t="shared" si="7"/>
        <v>46672582.745563455</v>
      </c>
      <c r="AT34" s="285">
        <f t="shared" si="7"/>
        <v>47839397.31420254</v>
      </c>
      <c r="AU34" s="285">
        <f t="shared" si="7"/>
        <v>49035382.247057602</v>
      </c>
      <c r="AV34" s="285">
        <f t="shared" si="7"/>
        <v>50261266.803234041</v>
      </c>
      <c r="AW34" s="285">
        <f t="shared" si="7"/>
        <v>55912786.429340795</v>
      </c>
      <c r="AX34" s="285">
        <f t="shared" si="7"/>
        <v>52805743.435147747</v>
      </c>
      <c r="AY34" s="285">
        <f t="shared" si="7"/>
        <v>54125887.02102644</v>
      </c>
      <c r="AZ34" s="285">
        <f t="shared" si="7"/>
        <v>56237819.178809769</v>
      </c>
      <c r="BA34" s="285"/>
      <c r="BB34" s="285"/>
      <c r="BC34" s="285"/>
      <c r="BD34" s="285"/>
      <c r="BE34" s="285"/>
      <c r="BF34" s="285"/>
    </row>
    <row r="35" spans="2:63" x14ac:dyDescent="0.2">
      <c r="B35" s="283" t="s">
        <v>386</v>
      </c>
      <c r="C35" s="285">
        <f t="shared" ref="C35:AZ35" si="8">SUM(C32:C34)</f>
        <v>9910074.6500355266</v>
      </c>
      <c r="D35" s="285">
        <f t="shared" si="8"/>
        <v>28370749.887679346</v>
      </c>
      <c r="E35" s="285">
        <f t="shared" si="8"/>
        <v>27478264.581803411</v>
      </c>
      <c r="F35" s="285">
        <f t="shared" si="8"/>
        <v>29685178.810992114</v>
      </c>
      <c r="G35" s="285">
        <f t="shared" si="8"/>
        <v>28869351.726257201</v>
      </c>
      <c r="H35" s="285">
        <f t="shared" si="8"/>
        <v>31187990.98829858</v>
      </c>
      <c r="I35" s="285">
        <f t="shared" si="8"/>
        <v>30330862.657398969</v>
      </c>
      <c r="J35" s="285">
        <f t="shared" si="8"/>
        <v>32766883.032081194</v>
      </c>
      <c r="K35" s="285">
        <f t="shared" si="8"/>
        <v>31866362.579429783</v>
      </c>
      <c r="L35" s="285">
        <f t="shared" si="8"/>
        <v>34708301.249775052</v>
      </c>
      <c r="M35" s="285">
        <f t="shared" si="8"/>
        <v>33479597.18501341</v>
      </c>
      <c r="N35" s="285">
        <f t="shared" si="8"/>
        <v>36168507.876412794</v>
      </c>
      <c r="O35" s="285">
        <f t="shared" si="8"/>
        <v>35174501.792504705</v>
      </c>
      <c r="P35" s="285">
        <f t="shared" si="8"/>
        <v>36053864.337317318</v>
      </c>
      <c r="Q35" s="285">
        <f t="shared" si="8"/>
        <v>36955210.945750251</v>
      </c>
      <c r="R35" s="285">
        <f t="shared" si="8"/>
        <v>37879091.219393998</v>
      </c>
      <c r="S35" s="285">
        <f t="shared" si="8"/>
        <v>40921346.859372668</v>
      </c>
      <c r="T35" s="285">
        <f t="shared" si="8"/>
        <v>39796720.212375812</v>
      </c>
      <c r="U35" s="285">
        <f t="shared" si="8"/>
        <v>40791638.217685208</v>
      </c>
      <c r="V35" s="285">
        <f t="shared" si="8"/>
        <v>42173174.363043852</v>
      </c>
      <c r="W35" s="285">
        <f t="shared" si="8"/>
        <v>42856714.902455516</v>
      </c>
      <c r="X35" s="285">
        <f t="shared" si="8"/>
        <v>46298747.919240206</v>
      </c>
      <c r="Y35" s="285">
        <f t="shared" si="8"/>
        <v>45026336.094392315</v>
      </c>
      <c r="Z35" s="285">
        <f t="shared" si="8"/>
        <v>46151994.496752121</v>
      </c>
      <c r="AA35" s="285">
        <f t="shared" si="8"/>
        <v>47305794.359170914</v>
      </c>
      <c r="AB35" s="285">
        <f t="shared" si="8"/>
        <v>48488439.218150191</v>
      </c>
      <c r="AC35" s="285">
        <f t="shared" si="8"/>
        <v>52382783.642381072</v>
      </c>
      <c r="AD35" s="285">
        <f t="shared" si="8"/>
        <v>50943166.453569025</v>
      </c>
      <c r="AE35" s="285">
        <f t="shared" si="8"/>
        <v>52216745.614908248</v>
      </c>
      <c r="AF35" s="285">
        <f t="shared" si="8"/>
        <v>53985228.681830458</v>
      </c>
      <c r="AG35" s="285">
        <f t="shared" si="8"/>
        <v>54860218.361662969</v>
      </c>
      <c r="AH35" s="285">
        <f t="shared" si="8"/>
        <v>59266311.627062611</v>
      </c>
      <c r="AI35" s="285">
        <f t="shared" si="8"/>
        <v>57637516.91622214</v>
      </c>
      <c r="AJ35" s="285">
        <f t="shared" si="8"/>
        <v>59078454.839127697</v>
      </c>
      <c r="AK35" s="285">
        <f t="shared" si="8"/>
        <v>60555416.210105881</v>
      </c>
      <c r="AL35" s="285">
        <f t="shared" si="8"/>
        <v>62069301.615358531</v>
      </c>
      <c r="AM35" s="285">
        <f t="shared" si="8"/>
        <v>67054391.722593747</v>
      </c>
      <c r="AN35" s="285">
        <f t="shared" si="8"/>
        <v>65211560.009636045</v>
      </c>
      <c r="AO35" s="285">
        <f t="shared" si="8"/>
        <v>66841849.009876937</v>
      </c>
      <c r="AP35" s="285">
        <f t="shared" si="8"/>
        <v>69105656.850517035</v>
      </c>
      <c r="AQ35" s="285">
        <f t="shared" si="8"/>
        <v>70225717.616001964</v>
      </c>
      <c r="AR35" s="285">
        <f t="shared" si="8"/>
        <v>75865889.505327702</v>
      </c>
      <c r="AS35" s="285">
        <f t="shared" si="8"/>
        <v>73780894.570312053</v>
      </c>
      <c r="AT35" s="285">
        <f t="shared" si="8"/>
        <v>75625416.934569836</v>
      </c>
      <c r="AU35" s="285">
        <f t="shared" si="8"/>
        <v>77516052.357934088</v>
      </c>
      <c r="AV35" s="285">
        <f t="shared" si="8"/>
        <v>79453953.666882426</v>
      </c>
      <c r="AW35" s="285">
        <f t="shared" si="8"/>
        <v>85835290.464580402</v>
      </c>
      <c r="AX35" s="285">
        <f t="shared" si="8"/>
        <v>83476310.071268335</v>
      </c>
      <c r="AY35" s="285">
        <f t="shared" si="8"/>
        <v>85563217.823050037</v>
      </c>
      <c r="AZ35" s="285">
        <f t="shared" si="8"/>
        <v>88461083.250883967</v>
      </c>
      <c r="BA35" s="285"/>
      <c r="BB35" s="285"/>
      <c r="BC35" s="285"/>
      <c r="BD35" s="285"/>
      <c r="BE35" s="285"/>
      <c r="BF35" s="285"/>
    </row>
    <row r="37" spans="2:63" x14ac:dyDescent="0.2">
      <c r="B37" s="283" t="s">
        <v>387</v>
      </c>
      <c r="C37" s="284"/>
      <c r="D37" s="284">
        <f>D24*D29-D35</f>
        <v>0</v>
      </c>
      <c r="E37" s="284">
        <f t="shared" ref="E37:AZ37" si="9">E24*E29-E35</f>
        <v>0</v>
      </c>
      <c r="F37" s="284">
        <f t="shared" si="9"/>
        <v>0</v>
      </c>
      <c r="G37" s="284">
        <f t="shared" si="9"/>
        <v>0</v>
      </c>
      <c r="H37" s="284">
        <f t="shared" si="9"/>
        <v>0</v>
      </c>
      <c r="I37" s="284">
        <f t="shared" si="9"/>
        <v>0</v>
      </c>
      <c r="J37" s="284">
        <f t="shared" si="9"/>
        <v>0</v>
      </c>
      <c r="K37" s="284">
        <f t="shared" si="9"/>
        <v>0</v>
      </c>
      <c r="L37" s="284">
        <f t="shared" si="9"/>
        <v>0</v>
      </c>
      <c r="M37" s="284">
        <f t="shared" si="9"/>
        <v>0</v>
      </c>
      <c r="N37" s="284">
        <f t="shared" si="9"/>
        <v>0</v>
      </c>
      <c r="O37" s="284">
        <f t="shared" si="9"/>
        <v>0</v>
      </c>
      <c r="P37" s="284">
        <f t="shared" si="9"/>
        <v>0</v>
      </c>
      <c r="Q37" s="284">
        <f t="shared" si="9"/>
        <v>0</v>
      </c>
      <c r="R37" s="284">
        <f t="shared" si="9"/>
        <v>0</v>
      </c>
      <c r="S37" s="284">
        <f t="shared" si="9"/>
        <v>0</v>
      </c>
      <c r="T37" s="284">
        <f t="shared" si="9"/>
        <v>0</v>
      </c>
      <c r="U37" s="284">
        <f t="shared" si="9"/>
        <v>0</v>
      </c>
      <c r="V37" s="284">
        <f t="shared" si="9"/>
        <v>0</v>
      </c>
      <c r="W37" s="284">
        <f t="shared" si="9"/>
        <v>0</v>
      </c>
      <c r="X37" s="284">
        <f t="shared" si="9"/>
        <v>0</v>
      </c>
      <c r="Y37" s="284">
        <f t="shared" si="9"/>
        <v>0</v>
      </c>
      <c r="Z37" s="284">
        <f t="shared" si="9"/>
        <v>0</v>
      </c>
      <c r="AA37" s="284">
        <f t="shared" si="9"/>
        <v>0</v>
      </c>
      <c r="AB37" s="284">
        <f t="shared" si="9"/>
        <v>0</v>
      </c>
      <c r="AC37" s="284">
        <f t="shared" si="9"/>
        <v>0</v>
      </c>
      <c r="AD37" s="284">
        <f t="shared" si="9"/>
        <v>0</v>
      </c>
      <c r="AE37" s="284">
        <f t="shared" si="9"/>
        <v>0</v>
      </c>
      <c r="AF37" s="284">
        <f t="shared" si="9"/>
        <v>0</v>
      </c>
      <c r="AG37" s="284">
        <f t="shared" si="9"/>
        <v>0</v>
      </c>
      <c r="AH37" s="284">
        <f t="shared" si="9"/>
        <v>0</v>
      </c>
      <c r="AI37" s="284">
        <f t="shared" si="9"/>
        <v>0</v>
      </c>
      <c r="AJ37" s="284">
        <f t="shared" si="9"/>
        <v>0</v>
      </c>
      <c r="AK37" s="284">
        <f t="shared" si="9"/>
        <v>0</v>
      </c>
      <c r="AL37" s="284">
        <f t="shared" si="9"/>
        <v>0</v>
      </c>
      <c r="AM37" s="284">
        <f t="shared" si="9"/>
        <v>0</v>
      </c>
      <c r="AN37" s="284">
        <f t="shared" si="9"/>
        <v>0</v>
      </c>
      <c r="AO37" s="284">
        <f t="shared" si="9"/>
        <v>0</v>
      </c>
      <c r="AP37" s="284">
        <f t="shared" si="9"/>
        <v>0</v>
      </c>
      <c r="AQ37" s="284">
        <f t="shared" si="9"/>
        <v>0</v>
      </c>
      <c r="AR37" s="284">
        <f t="shared" si="9"/>
        <v>0</v>
      </c>
      <c r="AS37" s="284">
        <f t="shared" si="9"/>
        <v>0</v>
      </c>
      <c r="AT37" s="284">
        <f t="shared" si="9"/>
        <v>0</v>
      </c>
      <c r="AU37" s="284">
        <f t="shared" si="9"/>
        <v>0</v>
      </c>
      <c r="AV37" s="284">
        <f t="shared" si="9"/>
        <v>0</v>
      </c>
      <c r="AW37" s="284">
        <f t="shared" si="9"/>
        <v>0</v>
      </c>
      <c r="AX37" s="284">
        <f t="shared" si="9"/>
        <v>0</v>
      </c>
      <c r="AY37" s="284">
        <f t="shared" si="9"/>
        <v>0</v>
      </c>
      <c r="AZ37" s="284">
        <f t="shared" si="9"/>
        <v>0</v>
      </c>
    </row>
    <row r="39" spans="2:63" ht="15" x14ac:dyDescent="0.25">
      <c r="B39" s="283" t="s">
        <v>388</v>
      </c>
      <c r="C39" s="290">
        <v>9910.0746500355272</v>
      </c>
      <c r="D39" s="290">
        <v>28370.749887679343</v>
      </c>
      <c r="E39" s="290">
        <v>27478.264581803407</v>
      </c>
      <c r="F39" s="290">
        <v>29685.178810992114</v>
      </c>
      <c r="G39" s="290">
        <v>28869.351726257206</v>
      </c>
      <c r="H39" s="290">
        <v>31187.990988298581</v>
      </c>
      <c r="I39" s="290">
        <v>30330.862657398968</v>
      </c>
      <c r="J39" s="290">
        <v>32766.883032081198</v>
      </c>
      <c r="K39" s="290">
        <v>31866.362579429784</v>
      </c>
      <c r="L39" s="290">
        <v>34708.301249775053</v>
      </c>
      <c r="M39" s="290">
        <v>33479.597185013408</v>
      </c>
      <c r="N39" s="290">
        <v>36168.507876412797</v>
      </c>
      <c r="O39" s="290">
        <v>35174.5017925047</v>
      </c>
      <c r="P39" s="290">
        <v>36053.864337317325</v>
      </c>
      <c r="Q39" s="290">
        <v>36955.210945750252</v>
      </c>
      <c r="R39" s="290">
        <v>37879.091219394002</v>
      </c>
      <c r="S39" s="290">
        <v>40921.346859372665</v>
      </c>
      <c r="T39" s="290">
        <v>39796.720212375818</v>
      </c>
      <c r="U39" s="290">
        <v>40791.638217685206</v>
      </c>
      <c r="V39" s="290">
        <v>42173.17436304385</v>
      </c>
      <c r="W39" s="290">
        <v>42856.714902455511</v>
      </c>
      <c r="X39" s="290">
        <v>46298.747919240202</v>
      </c>
      <c r="Y39" s="290">
        <v>45026.336094392311</v>
      </c>
      <c r="Z39" s="290">
        <v>46151.994496752122</v>
      </c>
      <c r="AA39" s="290">
        <v>47305.794359170919</v>
      </c>
      <c r="AB39" s="290">
        <v>48488.43921815019</v>
      </c>
      <c r="AC39" s="290">
        <v>52382.783642381073</v>
      </c>
      <c r="AD39" s="290">
        <v>50943.166453569022</v>
      </c>
      <c r="AE39" s="290">
        <v>52216.745614908243</v>
      </c>
      <c r="AF39" s="290">
        <v>53985.228681830456</v>
      </c>
      <c r="AG39" s="290">
        <v>54860.21836166297</v>
      </c>
      <c r="AH39" s="290">
        <v>59266.311627062612</v>
      </c>
      <c r="AI39" s="290">
        <v>57637.516916222135</v>
      </c>
      <c r="AJ39" s="290">
        <v>59078.454839127706</v>
      </c>
      <c r="AK39" s="290">
        <v>60555.416210105876</v>
      </c>
      <c r="AL39" s="290">
        <v>62069.301615358534</v>
      </c>
      <c r="AM39" s="290">
        <v>67054.391722593748</v>
      </c>
      <c r="AN39" s="290">
        <v>65211.560009636043</v>
      </c>
      <c r="AO39" s="290">
        <v>66841.84900987694</v>
      </c>
      <c r="AP39" s="290">
        <v>69105.656850517029</v>
      </c>
      <c r="AQ39" s="290">
        <v>70225.717616001959</v>
      </c>
      <c r="AR39" s="290">
        <v>75865.889505327694</v>
      </c>
      <c r="AS39" s="290">
        <v>73780.894570312055</v>
      </c>
      <c r="AT39" s="290">
        <v>75625.416934569846</v>
      </c>
      <c r="AU39" s="290">
        <v>77516.052357934095</v>
      </c>
      <c r="AV39" s="290">
        <v>79453.953666882444</v>
      </c>
      <c r="AW39" s="290">
        <v>85835.290464580394</v>
      </c>
      <c r="AX39" s="290">
        <v>83476.310071268337</v>
      </c>
      <c r="AY39" s="290">
        <v>85563.217823050043</v>
      </c>
      <c r="AZ39" s="290">
        <v>88461.083250883967</v>
      </c>
      <c r="BA39" s="290">
        <v>89894.855725341942</v>
      </c>
      <c r="BB39" s="291"/>
      <c r="BC39" s="291"/>
      <c r="BD39" s="291"/>
      <c r="BE39" s="291"/>
      <c r="BF39" s="291"/>
    </row>
    <row r="40" spans="2:63" x14ac:dyDescent="0.2">
      <c r="B40" s="283" t="s">
        <v>387</v>
      </c>
      <c r="C40" s="286">
        <f>C39-C34/1000</f>
        <v>0</v>
      </c>
      <c r="D40" s="289">
        <f>D35/1000-D39</f>
        <v>0</v>
      </c>
      <c r="E40" s="289">
        <f t="shared" ref="E40:AZ40" si="10">E35/1000-E39</f>
        <v>0</v>
      </c>
      <c r="F40" s="289">
        <f t="shared" si="10"/>
        <v>0</v>
      </c>
      <c r="G40" s="289">
        <f t="shared" si="10"/>
        <v>0</v>
      </c>
      <c r="H40" s="289">
        <f t="shared" si="10"/>
        <v>0</v>
      </c>
      <c r="I40" s="289">
        <f t="shared" si="10"/>
        <v>0</v>
      </c>
      <c r="J40" s="289">
        <f t="shared" si="10"/>
        <v>0</v>
      </c>
      <c r="K40" s="289">
        <f t="shared" si="10"/>
        <v>0</v>
      </c>
      <c r="L40" s="289">
        <f t="shared" si="10"/>
        <v>0</v>
      </c>
      <c r="M40" s="289">
        <f t="shared" si="10"/>
        <v>0</v>
      </c>
      <c r="N40" s="289">
        <f t="shared" si="10"/>
        <v>0</v>
      </c>
      <c r="O40" s="289">
        <f t="shared" si="10"/>
        <v>0</v>
      </c>
      <c r="P40" s="289">
        <f t="shared" si="10"/>
        <v>0</v>
      </c>
      <c r="Q40" s="289">
        <f t="shared" si="10"/>
        <v>0</v>
      </c>
      <c r="R40" s="289">
        <f t="shared" si="10"/>
        <v>0</v>
      </c>
      <c r="S40" s="289">
        <f t="shared" si="10"/>
        <v>0</v>
      </c>
      <c r="T40" s="289">
        <f t="shared" si="10"/>
        <v>0</v>
      </c>
      <c r="U40" s="289">
        <f t="shared" si="10"/>
        <v>0</v>
      </c>
      <c r="V40" s="289">
        <f t="shared" si="10"/>
        <v>0</v>
      </c>
      <c r="W40" s="289">
        <f t="shared" si="10"/>
        <v>0</v>
      </c>
      <c r="X40" s="289">
        <f t="shared" si="10"/>
        <v>0</v>
      </c>
      <c r="Y40" s="289">
        <f t="shared" si="10"/>
        <v>0</v>
      </c>
      <c r="Z40" s="289">
        <f t="shared" si="10"/>
        <v>0</v>
      </c>
      <c r="AA40" s="289">
        <f t="shared" si="10"/>
        <v>0</v>
      </c>
      <c r="AB40" s="289">
        <f t="shared" si="10"/>
        <v>0</v>
      </c>
      <c r="AC40" s="289">
        <f t="shared" si="10"/>
        <v>0</v>
      </c>
      <c r="AD40" s="289">
        <f t="shared" si="10"/>
        <v>0</v>
      </c>
      <c r="AE40" s="289">
        <f t="shared" si="10"/>
        <v>0</v>
      </c>
      <c r="AF40" s="289">
        <f t="shared" si="10"/>
        <v>0</v>
      </c>
      <c r="AG40" s="289">
        <f t="shared" si="10"/>
        <v>0</v>
      </c>
      <c r="AH40" s="289">
        <f t="shared" si="10"/>
        <v>0</v>
      </c>
      <c r="AI40" s="289">
        <f t="shared" si="10"/>
        <v>0</v>
      </c>
      <c r="AJ40" s="289">
        <f t="shared" si="10"/>
        <v>0</v>
      </c>
      <c r="AK40" s="289">
        <f t="shared" si="10"/>
        <v>0</v>
      </c>
      <c r="AL40" s="289">
        <f t="shared" si="10"/>
        <v>0</v>
      </c>
      <c r="AM40" s="289">
        <f t="shared" si="10"/>
        <v>0</v>
      </c>
      <c r="AN40" s="289">
        <f t="shared" si="10"/>
        <v>0</v>
      </c>
      <c r="AO40" s="289">
        <f t="shared" si="10"/>
        <v>0</v>
      </c>
      <c r="AP40" s="289">
        <f t="shared" si="10"/>
        <v>0</v>
      </c>
      <c r="AQ40" s="289">
        <f t="shared" si="10"/>
        <v>0</v>
      </c>
      <c r="AR40" s="289">
        <f t="shared" si="10"/>
        <v>0</v>
      </c>
      <c r="AS40" s="289">
        <f t="shared" si="10"/>
        <v>0</v>
      </c>
      <c r="AT40" s="289">
        <f t="shared" si="10"/>
        <v>0</v>
      </c>
      <c r="AU40" s="289">
        <f t="shared" si="10"/>
        <v>0</v>
      </c>
      <c r="AV40" s="289">
        <f t="shared" si="10"/>
        <v>0</v>
      </c>
      <c r="AW40" s="289">
        <f t="shared" si="10"/>
        <v>0</v>
      </c>
      <c r="AX40" s="289">
        <f t="shared" si="10"/>
        <v>0</v>
      </c>
      <c r="AY40" s="289">
        <f t="shared" si="10"/>
        <v>0</v>
      </c>
      <c r="AZ40" s="289">
        <f t="shared" si="10"/>
        <v>0</v>
      </c>
      <c r="BA40" s="286"/>
      <c r="BB40" s="286"/>
      <c r="BC40" s="286"/>
      <c r="BD40" s="286"/>
      <c r="BE40" s="286"/>
      <c r="BF40" s="286"/>
    </row>
    <row r="42" spans="2:63" x14ac:dyDescent="0.2">
      <c r="B42" s="283" t="s">
        <v>389</v>
      </c>
      <c r="C42" s="287">
        <f>LITL!H66</f>
        <v>14423123.939928573</v>
      </c>
      <c r="D42" s="287">
        <f t="shared" ref="D42:AU42" si="11">C42</f>
        <v>14423123.939928573</v>
      </c>
      <c r="E42" s="287">
        <f t="shared" si="11"/>
        <v>14423123.939928573</v>
      </c>
      <c r="F42" s="287">
        <f t="shared" si="11"/>
        <v>14423123.939928573</v>
      </c>
      <c r="G42" s="287">
        <f t="shared" si="11"/>
        <v>14423123.939928573</v>
      </c>
      <c r="H42" s="287">
        <f t="shared" si="11"/>
        <v>14423123.939928573</v>
      </c>
      <c r="I42" s="287">
        <f t="shared" si="11"/>
        <v>14423123.939928573</v>
      </c>
      <c r="J42" s="287">
        <f t="shared" si="11"/>
        <v>14423123.939928573</v>
      </c>
      <c r="K42" s="287">
        <f t="shared" si="11"/>
        <v>14423123.939928573</v>
      </c>
      <c r="L42" s="287">
        <f t="shared" si="11"/>
        <v>14423123.939928573</v>
      </c>
      <c r="M42" s="287">
        <f t="shared" si="11"/>
        <v>14423123.939928573</v>
      </c>
      <c r="N42" s="287">
        <f t="shared" si="11"/>
        <v>14423123.939928573</v>
      </c>
      <c r="O42" s="287">
        <f t="shared" si="11"/>
        <v>14423123.939928573</v>
      </c>
      <c r="P42" s="287">
        <f t="shared" si="11"/>
        <v>14423123.939928573</v>
      </c>
      <c r="Q42" s="287">
        <f t="shared" si="11"/>
        <v>14423123.939928573</v>
      </c>
      <c r="R42" s="287">
        <f t="shared" si="11"/>
        <v>14423123.939928573</v>
      </c>
      <c r="S42" s="287">
        <f t="shared" si="11"/>
        <v>14423123.939928573</v>
      </c>
      <c r="T42" s="287">
        <f t="shared" si="11"/>
        <v>14423123.939928573</v>
      </c>
      <c r="U42" s="287">
        <f t="shared" si="11"/>
        <v>14423123.939928573</v>
      </c>
      <c r="V42" s="287">
        <f t="shared" si="11"/>
        <v>14423123.939928573</v>
      </c>
      <c r="W42" s="287">
        <f t="shared" si="11"/>
        <v>14423123.939928573</v>
      </c>
      <c r="X42" s="287">
        <f t="shared" si="11"/>
        <v>14423123.939928573</v>
      </c>
      <c r="Y42" s="287">
        <f t="shared" si="11"/>
        <v>14423123.939928573</v>
      </c>
      <c r="Z42" s="287">
        <f t="shared" si="11"/>
        <v>14423123.939928573</v>
      </c>
      <c r="AA42" s="287">
        <f t="shared" si="11"/>
        <v>14423123.939928573</v>
      </c>
      <c r="AB42" s="287">
        <f t="shared" si="11"/>
        <v>14423123.939928573</v>
      </c>
      <c r="AC42" s="287">
        <f t="shared" si="11"/>
        <v>14423123.939928573</v>
      </c>
      <c r="AD42" s="287">
        <f t="shared" si="11"/>
        <v>14423123.939928573</v>
      </c>
      <c r="AE42" s="287">
        <f t="shared" si="11"/>
        <v>14423123.939928573</v>
      </c>
      <c r="AF42" s="287">
        <f t="shared" si="11"/>
        <v>14423123.939928573</v>
      </c>
      <c r="AG42" s="287">
        <f t="shared" si="11"/>
        <v>14423123.939928573</v>
      </c>
      <c r="AH42" s="287">
        <f t="shared" si="11"/>
        <v>14423123.939928573</v>
      </c>
      <c r="AI42" s="287">
        <f t="shared" si="11"/>
        <v>14423123.939928573</v>
      </c>
      <c r="AJ42" s="287">
        <f t="shared" si="11"/>
        <v>14423123.939928573</v>
      </c>
      <c r="AK42" s="287">
        <f t="shared" si="11"/>
        <v>14423123.939928573</v>
      </c>
      <c r="AL42" s="287">
        <f t="shared" si="11"/>
        <v>14423123.939928573</v>
      </c>
      <c r="AM42" s="287">
        <f t="shared" si="11"/>
        <v>14423123.939928573</v>
      </c>
      <c r="AN42" s="287">
        <f t="shared" si="11"/>
        <v>14423123.939928573</v>
      </c>
      <c r="AO42" s="287">
        <f t="shared" si="11"/>
        <v>14423123.939928573</v>
      </c>
      <c r="AP42" s="287">
        <f t="shared" si="11"/>
        <v>14423123.939928573</v>
      </c>
      <c r="AQ42" s="287">
        <f t="shared" si="11"/>
        <v>14423123.939928573</v>
      </c>
      <c r="AR42" s="287">
        <f t="shared" si="11"/>
        <v>14423123.939928573</v>
      </c>
      <c r="AS42" s="287">
        <f t="shared" si="11"/>
        <v>14423123.939928573</v>
      </c>
      <c r="AT42" s="287">
        <f t="shared" si="11"/>
        <v>14423123.939928573</v>
      </c>
      <c r="AU42" s="287">
        <f t="shared" si="11"/>
        <v>14423123.939928573</v>
      </c>
      <c r="AV42" s="287">
        <f t="shared" ref="AV42:AZ42" si="12">AU42</f>
        <v>14423123.939928573</v>
      </c>
      <c r="AW42" s="287">
        <f t="shared" si="12"/>
        <v>14423123.939928573</v>
      </c>
      <c r="AX42" s="287">
        <f t="shared" si="12"/>
        <v>14423123.939928573</v>
      </c>
      <c r="AY42" s="287">
        <f t="shared" si="12"/>
        <v>14423123.939928573</v>
      </c>
      <c r="AZ42" s="287">
        <f t="shared" si="12"/>
        <v>14423123.939928573</v>
      </c>
      <c r="BA42" s="287"/>
      <c r="BB42" s="287"/>
      <c r="BC42" s="287"/>
      <c r="BD42" s="287"/>
      <c r="BE42" s="287"/>
      <c r="BF42" s="287"/>
      <c r="BG42" s="287"/>
      <c r="BH42" s="287"/>
      <c r="BI42" s="287"/>
      <c r="BJ42" s="287"/>
      <c r="BK42" s="287"/>
    </row>
    <row r="43" spans="2:63" x14ac:dyDescent="0.2">
      <c r="B43" s="283" t="s">
        <v>390</v>
      </c>
      <c r="C43" s="288">
        <f>SOBI!I10</f>
        <v>1547500</v>
      </c>
      <c r="D43" s="288">
        <f>SOBI!J10</f>
        <v>1547500</v>
      </c>
      <c r="E43" s="288">
        <f>SOBI!K10</f>
        <v>200000</v>
      </c>
      <c r="F43" s="288">
        <f>SOBI!L10</f>
        <v>1447500</v>
      </c>
      <c r="G43" s="288">
        <f>SOBI!M10</f>
        <v>200000</v>
      </c>
      <c r="H43" s="288">
        <f>SOBI!N10</f>
        <v>1447500</v>
      </c>
      <c r="I43" s="288">
        <f>SOBI!O10</f>
        <v>200000</v>
      </c>
      <c r="J43" s="288">
        <f>SOBI!P10</f>
        <v>1447500</v>
      </c>
      <c r="K43" s="288">
        <f>SOBI!Q10</f>
        <v>200000</v>
      </c>
      <c r="L43" s="288">
        <f>SOBI!R10</f>
        <v>1647500</v>
      </c>
      <c r="M43" s="288">
        <f>SOBI!S10</f>
        <v>200000</v>
      </c>
      <c r="N43" s="288">
        <f>SOBI!T10</f>
        <v>1447500</v>
      </c>
      <c r="O43" s="288">
        <f>SOBI!U10</f>
        <v>200000</v>
      </c>
      <c r="P43" s="288">
        <f>SOBI!V10</f>
        <v>200000</v>
      </c>
      <c r="Q43" s="288">
        <f>SOBI!W10</f>
        <v>200000</v>
      </c>
      <c r="R43" s="288">
        <f>SOBI!X10</f>
        <v>200000</v>
      </c>
      <c r="S43" s="288">
        <f>SOBI!Y10</f>
        <v>1447500</v>
      </c>
      <c r="T43" s="288">
        <f>SOBI!Z10</f>
        <v>200000</v>
      </c>
      <c r="U43" s="288">
        <f>SOBI!AA10</f>
        <v>200000</v>
      </c>
      <c r="V43" s="288">
        <f>SOBI!AB10</f>
        <v>400000</v>
      </c>
      <c r="W43" s="288">
        <f>SOBI!AC10</f>
        <v>200000</v>
      </c>
      <c r="X43" s="288">
        <f>SOBI!AD10</f>
        <v>1447500</v>
      </c>
      <c r="Y43" s="288">
        <f>SOBI!AE10</f>
        <v>200000</v>
      </c>
      <c r="Z43" s="288">
        <f>SOBI!AF10</f>
        <v>200000</v>
      </c>
      <c r="AA43" s="288">
        <f>SOBI!AG10</f>
        <v>200000</v>
      </c>
      <c r="AB43" s="288">
        <f>SOBI!AH10</f>
        <v>200000</v>
      </c>
      <c r="AC43" s="288">
        <f>SOBI!AI10</f>
        <v>1447500</v>
      </c>
      <c r="AD43" s="288">
        <f>SOBI!AJ10</f>
        <v>200000</v>
      </c>
      <c r="AE43" s="288">
        <f>SOBI!AK10</f>
        <v>200000</v>
      </c>
      <c r="AF43" s="288">
        <f>SOBI!AL10</f>
        <v>400000</v>
      </c>
      <c r="AG43" s="288">
        <f>SOBI!AM10</f>
        <v>200000</v>
      </c>
      <c r="AH43" s="288">
        <f>SOBI!AN10</f>
        <v>1447500</v>
      </c>
      <c r="AI43" s="288">
        <f>SOBI!AO10</f>
        <v>200000</v>
      </c>
      <c r="AJ43" s="288">
        <f>SOBI!AP10</f>
        <v>200000</v>
      </c>
      <c r="AK43" s="288">
        <f>SOBI!AQ10</f>
        <v>200000</v>
      </c>
      <c r="AL43" s="288">
        <f>SOBI!AR10</f>
        <v>200000</v>
      </c>
      <c r="AM43" s="288">
        <f>SOBI!AS10</f>
        <v>1447500</v>
      </c>
      <c r="AN43" s="288">
        <f>SOBI!AT10</f>
        <v>200000</v>
      </c>
      <c r="AO43" s="288">
        <f>SOBI!AU10</f>
        <v>200000</v>
      </c>
      <c r="AP43" s="288">
        <f>SOBI!AV10</f>
        <v>400000</v>
      </c>
      <c r="AQ43" s="288">
        <f>SOBI!AW10</f>
        <v>200000</v>
      </c>
      <c r="AR43" s="288">
        <f>SOBI!AX10</f>
        <v>1447500</v>
      </c>
      <c r="AS43" s="288">
        <f>SOBI!AY10</f>
        <v>200000</v>
      </c>
      <c r="AT43" s="288">
        <f>SOBI!AZ10</f>
        <v>200000</v>
      </c>
      <c r="AU43" s="288">
        <f>SOBI!BA10</f>
        <v>200000</v>
      </c>
      <c r="AV43" s="288">
        <f>SOBI!BB10</f>
        <v>200000</v>
      </c>
      <c r="AW43" s="288">
        <f>SOBI!BC10</f>
        <v>1447500</v>
      </c>
      <c r="AX43" s="288">
        <f>SOBI!BD10</f>
        <v>200000</v>
      </c>
      <c r="AY43" s="288">
        <f>SOBI!BE10</f>
        <v>200000</v>
      </c>
      <c r="AZ43" s="288">
        <f>SOBI!BF10</f>
        <v>400000</v>
      </c>
      <c r="BA43" s="288"/>
      <c r="BB43" s="288"/>
      <c r="BC43" s="288"/>
      <c r="BD43" s="288"/>
      <c r="BE43" s="288"/>
      <c r="BF43" s="288"/>
      <c r="BG43" s="288"/>
      <c r="BH43" s="288"/>
      <c r="BI43" s="288"/>
      <c r="BJ43" s="288"/>
      <c r="BK43" s="288"/>
    </row>
    <row r="44" spans="2:63" x14ac:dyDescent="0.2">
      <c r="B44" s="283" t="s">
        <v>391</v>
      </c>
      <c r="C44" s="285">
        <f>(C43*C29)+(C42*C29*6/12)</f>
        <v>9910074.6500355266</v>
      </c>
      <c r="D44" s="285">
        <f>(D43*D29)+(D42*D29)</f>
        <v>18521027.467888381</v>
      </c>
      <c r="E44" s="285">
        <f t="shared" ref="E44:AZ44" si="13">(E43*E29)+(E42*E29)</f>
        <v>17382299.101517674</v>
      </c>
      <c r="F44" s="285">
        <f t="shared" si="13"/>
        <v>19336814.193699233</v>
      </c>
      <c r="G44" s="285">
        <f t="shared" si="13"/>
        <v>18262277.993532002</v>
      </c>
      <c r="H44" s="285">
        <f t="shared" si="13"/>
        <v>20315740.412255254</v>
      </c>
      <c r="I44" s="285">
        <f t="shared" si="13"/>
        <v>19186805.816954557</v>
      </c>
      <c r="J44" s="285">
        <f t="shared" si="13"/>
        <v>21344224.770625673</v>
      </c>
      <c r="K44" s="285">
        <f t="shared" si="13"/>
        <v>20158137.861437876</v>
      </c>
      <c r="L44" s="285">
        <f t="shared" si="13"/>
        <v>22707370.913833346</v>
      </c>
      <c r="M44" s="285">
        <f t="shared" si="13"/>
        <v>21178643.590673164</v>
      </c>
      <c r="N44" s="285">
        <f t="shared" si="13"/>
        <v>23560030.442214042</v>
      </c>
      <c r="O44" s="285">
        <f t="shared" si="13"/>
        <v>22250812.422450989</v>
      </c>
      <c r="P44" s="285">
        <f t="shared" si="13"/>
        <v>22807082.733012263</v>
      </c>
      <c r="Q44" s="285">
        <f t="shared" si="13"/>
        <v>23377259.801337566</v>
      </c>
      <c r="R44" s="285">
        <f t="shared" si="13"/>
        <v>23961691.296371002</v>
      </c>
      <c r="S44" s="285">
        <f t="shared" si="13"/>
        <v>26656011.938274097</v>
      </c>
      <c r="T44" s="285">
        <f t="shared" si="13"/>
        <v>25174751.918249778</v>
      </c>
      <c r="U44" s="285">
        <f t="shared" si="13"/>
        <v>25804120.716206022</v>
      </c>
      <c r="V44" s="285">
        <f t="shared" si="13"/>
        <v>26810968.924027689</v>
      </c>
      <c r="W44" s="285">
        <f t="shared" si="13"/>
        <v>27110454.327463947</v>
      </c>
      <c r="X44" s="285">
        <f t="shared" si="13"/>
        <v>30158830.829873849</v>
      </c>
      <c r="Y44" s="285">
        <f t="shared" si="13"/>
        <v>28482921.077791803</v>
      </c>
      <c r="Z44" s="285">
        <f t="shared" si="13"/>
        <v>29194994.1047366</v>
      </c>
      <c r="AA44" s="285">
        <f t="shared" si="13"/>
        <v>29924868.957355008</v>
      </c>
      <c r="AB44" s="285">
        <f t="shared" si="13"/>
        <v>30672990.681288883</v>
      </c>
      <c r="AC44" s="285">
        <f t="shared" si="13"/>
        <v>34121948.892098241</v>
      </c>
      <c r="AD44" s="285">
        <f t="shared" si="13"/>
        <v>32225810.83452912</v>
      </c>
      <c r="AE44" s="285">
        <f t="shared" si="13"/>
        <v>33031456.105392348</v>
      </c>
      <c r="AF44" s="285">
        <f t="shared" si="13"/>
        <v>34320306.93457666</v>
      </c>
      <c r="AG44" s="285">
        <f t="shared" si="13"/>
        <v>34703673.570727833</v>
      </c>
      <c r="AH44" s="285">
        <f t="shared" si="13"/>
        <v>38605853.216354094</v>
      </c>
      <c r="AI44" s="285">
        <f t="shared" si="13"/>
        <v>36460547.045245923</v>
      </c>
      <c r="AJ44" s="285">
        <f t="shared" si="13"/>
        <v>37372060.721377067</v>
      </c>
      <c r="AK44" s="285">
        <f t="shared" si="13"/>
        <v>38306362.239411496</v>
      </c>
      <c r="AL44" s="285">
        <f t="shared" si="13"/>
        <v>39264021.295396775</v>
      </c>
      <c r="AM44" s="285">
        <f t="shared" si="13"/>
        <v>43678979.39463295</v>
      </c>
      <c r="AN44" s="285">
        <f t="shared" si="13"/>
        <v>41251762.37347623</v>
      </c>
      <c r="AO44" s="285">
        <f t="shared" si="13"/>
        <v>42283056.43281313</v>
      </c>
      <c r="AP44" s="285">
        <f t="shared" si="13"/>
        <v>43932894.459026635</v>
      </c>
      <c r="AQ44" s="285">
        <f t="shared" si="13"/>
        <v>44423636.164724298</v>
      </c>
      <c r="AR44" s="285">
        <f t="shared" si="13"/>
        <v>49418756.0177681</v>
      </c>
      <c r="AS44" s="285">
        <f t="shared" si="13"/>
        <v>46672582.745563462</v>
      </c>
      <c r="AT44" s="285">
        <f t="shared" si="13"/>
        <v>47839397.31420254</v>
      </c>
      <c r="AU44" s="285">
        <f t="shared" si="13"/>
        <v>49035382.247057602</v>
      </c>
      <c r="AV44" s="285">
        <f t="shared" si="13"/>
        <v>50261266.803234041</v>
      </c>
      <c r="AW44" s="285">
        <f t="shared" si="13"/>
        <v>55912786.429340802</v>
      </c>
      <c r="AX44" s="285">
        <f t="shared" si="13"/>
        <v>52805743.435147747</v>
      </c>
      <c r="AY44" s="285">
        <f t="shared" si="13"/>
        <v>54125887.02102644</v>
      </c>
      <c r="AZ44" s="285">
        <f t="shared" si="13"/>
        <v>56237819.178809769</v>
      </c>
      <c r="BA44" s="285"/>
      <c r="BB44" s="285"/>
      <c r="BC44" s="285"/>
      <c r="BD44" s="285"/>
      <c r="BE44" s="285"/>
      <c r="BF44" s="285"/>
    </row>
    <row r="45" spans="2:63" x14ac:dyDescent="0.2">
      <c r="B45" s="283" t="s">
        <v>393</v>
      </c>
      <c r="C45" s="285">
        <f>C44-C34</f>
        <v>0</v>
      </c>
      <c r="D45" s="285">
        <f t="shared" ref="D45:AZ45" si="14">D44-D34</f>
        <v>0</v>
      </c>
      <c r="E45" s="285">
        <f t="shared" si="14"/>
        <v>0</v>
      </c>
      <c r="F45" s="285">
        <f t="shared" si="14"/>
        <v>0</v>
      </c>
      <c r="G45" s="285">
        <f t="shared" si="14"/>
        <v>0</v>
      </c>
      <c r="H45" s="285">
        <f t="shared" si="14"/>
        <v>0</v>
      </c>
      <c r="I45" s="285">
        <f t="shared" si="14"/>
        <v>0</v>
      </c>
      <c r="J45" s="285">
        <f t="shared" si="14"/>
        <v>0</v>
      </c>
      <c r="K45" s="285">
        <f t="shared" si="14"/>
        <v>0</v>
      </c>
      <c r="L45" s="285">
        <f t="shared" si="14"/>
        <v>0</v>
      </c>
      <c r="M45" s="285">
        <f t="shared" si="14"/>
        <v>0</v>
      </c>
      <c r="N45" s="285">
        <f t="shared" si="14"/>
        <v>0</v>
      </c>
      <c r="O45" s="285">
        <f t="shared" si="14"/>
        <v>0</v>
      </c>
      <c r="P45" s="285">
        <f t="shared" si="14"/>
        <v>0</v>
      </c>
      <c r="Q45" s="285">
        <f t="shared" si="14"/>
        <v>0</v>
      </c>
      <c r="R45" s="285">
        <f t="shared" si="14"/>
        <v>0</v>
      </c>
      <c r="S45" s="285">
        <f t="shared" si="14"/>
        <v>0</v>
      </c>
      <c r="T45" s="285">
        <f t="shared" si="14"/>
        <v>0</v>
      </c>
      <c r="U45" s="285">
        <f t="shared" si="14"/>
        <v>0</v>
      </c>
      <c r="V45" s="285">
        <f t="shared" si="14"/>
        <v>0</v>
      </c>
      <c r="W45" s="285">
        <f t="shared" si="14"/>
        <v>0</v>
      </c>
      <c r="X45" s="285">
        <f t="shared" si="14"/>
        <v>0</v>
      </c>
      <c r="Y45" s="285">
        <f t="shared" si="14"/>
        <v>0</v>
      </c>
      <c r="Z45" s="285">
        <f t="shared" si="14"/>
        <v>0</v>
      </c>
      <c r="AA45" s="285">
        <f t="shared" si="14"/>
        <v>0</v>
      </c>
      <c r="AB45" s="285">
        <f t="shared" si="14"/>
        <v>0</v>
      </c>
      <c r="AC45" s="285">
        <f t="shared" si="14"/>
        <v>0</v>
      </c>
      <c r="AD45" s="285">
        <f t="shared" si="14"/>
        <v>0</v>
      </c>
      <c r="AE45" s="285">
        <f t="shared" si="14"/>
        <v>0</v>
      </c>
      <c r="AF45" s="285">
        <f t="shared" si="14"/>
        <v>0</v>
      </c>
      <c r="AG45" s="285">
        <f t="shared" si="14"/>
        <v>0</v>
      </c>
      <c r="AH45" s="285">
        <f t="shared" si="14"/>
        <v>0</v>
      </c>
      <c r="AI45" s="285">
        <f t="shared" si="14"/>
        <v>0</v>
      </c>
      <c r="AJ45" s="285">
        <f t="shared" si="14"/>
        <v>0</v>
      </c>
      <c r="AK45" s="285">
        <f t="shared" si="14"/>
        <v>0</v>
      </c>
      <c r="AL45" s="285">
        <f t="shared" si="14"/>
        <v>0</v>
      </c>
      <c r="AM45" s="285">
        <f t="shared" si="14"/>
        <v>0</v>
      </c>
      <c r="AN45" s="285">
        <f t="shared" si="14"/>
        <v>0</v>
      </c>
      <c r="AO45" s="285">
        <f t="shared" si="14"/>
        <v>0</v>
      </c>
      <c r="AP45" s="285">
        <f t="shared" si="14"/>
        <v>0</v>
      </c>
      <c r="AQ45" s="285">
        <f t="shared" si="14"/>
        <v>0</v>
      </c>
      <c r="AR45" s="285">
        <f t="shared" si="14"/>
        <v>0</v>
      </c>
      <c r="AS45" s="285">
        <f t="shared" si="14"/>
        <v>0</v>
      </c>
      <c r="AT45" s="285">
        <f t="shared" si="14"/>
        <v>0</v>
      </c>
      <c r="AU45" s="285">
        <f t="shared" si="14"/>
        <v>0</v>
      </c>
      <c r="AV45" s="285">
        <f t="shared" si="14"/>
        <v>0</v>
      </c>
      <c r="AW45" s="285">
        <f t="shared" si="14"/>
        <v>0</v>
      </c>
      <c r="AX45" s="285">
        <f t="shared" si="14"/>
        <v>0</v>
      </c>
      <c r="AY45" s="285">
        <f t="shared" si="14"/>
        <v>0</v>
      </c>
      <c r="AZ45" s="285">
        <f t="shared" si="14"/>
        <v>0</v>
      </c>
    </row>
    <row r="46" spans="2:63" x14ac:dyDescent="0.2">
      <c r="B46" s="283"/>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row>
    <row r="47" spans="2:63" x14ac:dyDescent="0.2">
      <c r="B47" s="283"/>
    </row>
    <row r="48" spans="2:63" x14ac:dyDescent="0.2">
      <c r="B48" s="283"/>
    </row>
    <row r="50" spans="2:3" x14ac:dyDescent="0.2">
      <c r="B50" s="283" t="s">
        <v>392</v>
      </c>
      <c r="C50" s="294">
        <f>(LITL!H63+LITL!H24+LTA!I45+LTA!I23+'Muskrat Falls'!I62+'Muskrat Falls'!I21)/('Muskrat Falls'!I63+LTA!I46+LITL!H64)</f>
        <v>0.43649559497214591</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25"/>
  <sheetViews>
    <sheetView showGridLines="0" showRowColHeaders="0" zoomScale="131" zoomScaleNormal="131" workbookViewId="0">
      <selection activeCell="C6" sqref="C6"/>
    </sheetView>
  </sheetViews>
  <sheetFormatPr defaultColWidth="9.140625" defaultRowHeight="12.75" x14ac:dyDescent="0.2"/>
  <cols>
    <col min="1" max="1" width="4.7109375" style="1" customWidth="1"/>
    <col min="2" max="2" width="40.42578125" style="1" customWidth="1"/>
    <col min="3" max="3" width="22" style="1" customWidth="1"/>
    <col min="4" max="48" width="12.5703125" style="1" customWidth="1"/>
    <col min="49" max="16384" width="9.140625" style="1"/>
  </cols>
  <sheetData>
    <row r="1" spans="2:48" ht="23.25" x14ac:dyDescent="0.35">
      <c r="B1" s="55" t="s">
        <v>311</v>
      </c>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2:48" ht="7.5" customHeight="1" x14ac:dyDescent="0.2">
      <c r="B2" s="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row>
    <row r="3" spans="2:48" ht="15.75" x14ac:dyDescent="0.2">
      <c r="B3" s="230" t="s">
        <v>315</v>
      </c>
      <c r="C3" s="51" t="s">
        <v>23</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row>
    <row r="4" spans="2:48" ht="15.75" x14ac:dyDescent="0.25">
      <c r="B4" s="59" t="s">
        <v>314</v>
      </c>
      <c r="C4" s="33">
        <f>'Muskrat Falls'!$I$65</f>
        <v>6345025.1224999996</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48" ht="15.75" x14ac:dyDescent="0.25">
      <c r="B5" s="59" t="s">
        <v>313</v>
      </c>
      <c r="C5" s="34">
        <f>LTA!$I$48</f>
        <v>2148359.6506666662</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row>
    <row r="6" spans="2:48" ht="15.75" x14ac:dyDescent="0.25">
      <c r="B6" s="59" t="s">
        <v>312</v>
      </c>
      <c r="C6" s="33">
        <f>LITL!$H$66+SOBI!I10</f>
        <v>15970623.939928573</v>
      </c>
      <c r="D6" s="27"/>
      <c r="E6" s="27" t="s">
        <v>145</v>
      </c>
      <c r="F6" s="27" t="s">
        <v>145</v>
      </c>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2:48" ht="15.75" customHeight="1" x14ac:dyDescent="0.25">
      <c r="B7" s="229" t="s">
        <v>180</v>
      </c>
      <c r="C7" s="41">
        <f>SUM(C4:C6)</f>
        <v>24464008.71309524</v>
      </c>
    </row>
    <row r="8" spans="2:48" ht="7.5" customHeight="1" x14ac:dyDescent="0.2"/>
    <row r="9" spans="2:48" x14ac:dyDescent="0.2">
      <c r="B9" s="15" t="s">
        <v>176</v>
      </c>
      <c r="D9" s="49"/>
      <c r="E9" s="49"/>
      <c r="F9" s="49"/>
      <c r="G9" s="49"/>
      <c r="H9" s="49"/>
    </row>
    <row r="10" spans="2:48" ht="26.25" customHeight="1" x14ac:dyDescent="0.2">
      <c r="B10" s="300" t="s">
        <v>218</v>
      </c>
      <c r="C10" s="300"/>
      <c r="D10" s="49"/>
      <c r="E10" s="49"/>
      <c r="F10" s="49"/>
      <c r="G10" s="49"/>
      <c r="H10" s="49"/>
    </row>
    <row r="11" spans="2:48" ht="12.75" customHeight="1" x14ac:dyDescent="0.2">
      <c r="B11" s="49" t="s">
        <v>376</v>
      </c>
      <c r="C11" s="49"/>
      <c r="D11" s="49"/>
      <c r="E11" s="49"/>
      <c r="F11" s="49"/>
      <c r="G11" s="49"/>
      <c r="H11" s="49"/>
    </row>
    <row r="12" spans="2:48" ht="26.25" customHeight="1" x14ac:dyDescent="0.2">
      <c r="B12" s="300" t="s">
        <v>219</v>
      </c>
      <c r="C12" s="300"/>
      <c r="D12" s="64"/>
      <c r="E12" s="64"/>
      <c r="F12" s="64"/>
      <c r="G12" s="64"/>
      <c r="H12" s="64"/>
    </row>
    <row r="13" spans="2:48" ht="78" customHeight="1" x14ac:dyDescent="0.2">
      <c r="B13" s="300" t="s">
        <v>316</v>
      </c>
      <c r="C13" s="300"/>
    </row>
    <row r="14" spans="2:48" ht="37.5" customHeight="1" x14ac:dyDescent="0.2">
      <c r="B14" s="301" t="s">
        <v>345</v>
      </c>
      <c r="C14" s="302"/>
    </row>
    <row r="15" spans="2:48" x14ac:dyDescent="0.2">
      <c r="B15" s="56" t="s">
        <v>346</v>
      </c>
    </row>
    <row r="16" spans="2:48" x14ac:dyDescent="0.2">
      <c r="B16" s="56"/>
    </row>
    <row r="18" spans="2:2" x14ac:dyDescent="0.2">
      <c r="B18" s="56"/>
    </row>
    <row r="22" spans="2:2" x14ac:dyDescent="0.2">
      <c r="B22" s="122"/>
    </row>
    <row r="23" spans="2:2" x14ac:dyDescent="0.2">
      <c r="B23" s="130"/>
    </row>
    <row r="24" spans="2:2" x14ac:dyDescent="0.2">
      <c r="B24" s="130"/>
    </row>
    <row r="25" spans="2:2" x14ac:dyDescent="0.2">
      <c r="B25" s="130"/>
    </row>
  </sheetData>
  <mergeCells count="4">
    <mergeCell ref="B10:C10"/>
    <mergeCell ref="B13:C13"/>
    <mergeCell ref="B12:C12"/>
    <mergeCell ref="B14:C14"/>
  </mergeCells>
  <phoneticPr fontId="4" type="noConversion"/>
  <hyperlinks>
    <hyperlink ref="B4" location="'Muskrat Falls'!A1" display="Muskrat Falls"/>
    <hyperlink ref="B5" location="'MF to CF TL'!A1" display="MF to CF 345 kV TL"/>
    <hyperlink ref="B6" location="'Island Link'!A1" display="Island Link"/>
  </hyperlinks>
  <printOptions horizontalCentered="1"/>
  <pageMargins left="0.75" right="0.75" top="1" bottom="1" header="0.5" footer="0.5"/>
  <pageSetup scale="67" orientation="landscape" r:id="rId1"/>
  <headerFooter alignWithMargins="0">
    <oddFooter>&amp;LLCP Opex Estimate - Summary&amp;R&amp;P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25"/>
  <sheetViews>
    <sheetView showGridLines="0" showRowColHeaders="0" tabSelected="1" zoomScale="131" zoomScaleNormal="131" workbookViewId="0">
      <selection activeCell="B12" sqref="B12:C12"/>
    </sheetView>
  </sheetViews>
  <sheetFormatPr defaultColWidth="9.140625" defaultRowHeight="12.75" x14ac:dyDescent="0.2"/>
  <cols>
    <col min="1" max="1" width="4.7109375" style="1" customWidth="1"/>
    <col min="2" max="2" width="40.42578125" style="1" customWidth="1"/>
    <col min="3" max="3" width="22" style="1" customWidth="1"/>
    <col min="4" max="48" width="12.5703125" style="1" customWidth="1"/>
    <col min="49" max="16384" width="9.140625" style="1"/>
  </cols>
  <sheetData>
    <row r="1" spans="2:48" ht="23.25" x14ac:dyDescent="0.35">
      <c r="B1" s="55" t="s">
        <v>311</v>
      </c>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2:48" ht="7.5" customHeight="1" x14ac:dyDescent="0.2">
      <c r="B2" s="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row>
    <row r="3" spans="2:48" ht="31.5" x14ac:dyDescent="0.2">
      <c r="B3" s="230" t="s">
        <v>315</v>
      </c>
      <c r="C3" s="51" t="s">
        <v>394</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row>
    <row r="4" spans="2:48" ht="15.75" x14ac:dyDescent="0.25">
      <c r="B4" s="59" t="s">
        <v>314</v>
      </c>
      <c r="C4" s="33">
        <f>+'Cost Curve'!D32</f>
        <v>7358283.8729586871</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48" ht="15.75" x14ac:dyDescent="0.25">
      <c r="B5" s="59" t="s">
        <v>313</v>
      </c>
      <c r="C5" s="34">
        <f>+'Cost Curve'!D33</f>
        <v>2491438.546832277</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row>
    <row r="6" spans="2:48" ht="15.75" x14ac:dyDescent="0.25">
      <c r="B6" s="59" t="s">
        <v>312</v>
      </c>
      <c r="C6" s="33">
        <f>+'Cost Curve'!D34</f>
        <v>18521027.467888381</v>
      </c>
      <c r="D6" s="27"/>
      <c r="E6" s="27" t="s">
        <v>145</v>
      </c>
      <c r="F6" s="27" t="s">
        <v>145</v>
      </c>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2:48" ht="15.75" customHeight="1" x14ac:dyDescent="0.25">
      <c r="B7" s="229" t="s">
        <v>180</v>
      </c>
      <c r="C7" s="41">
        <f>SUM(C4:C6)</f>
        <v>28370749.887679346</v>
      </c>
    </row>
    <row r="8" spans="2:48" ht="7.5" customHeight="1" x14ac:dyDescent="0.2"/>
    <row r="9" spans="2:48" x14ac:dyDescent="0.2">
      <c r="B9" s="15" t="s">
        <v>176</v>
      </c>
      <c r="D9" s="49"/>
      <c r="E9" s="49"/>
      <c r="F9" s="49"/>
      <c r="G9" s="49"/>
      <c r="H9" s="49"/>
    </row>
    <row r="10" spans="2:48" ht="26.25" customHeight="1" x14ac:dyDescent="0.2">
      <c r="B10" s="300" t="s">
        <v>218</v>
      </c>
      <c r="C10" s="300"/>
      <c r="D10" s="49"/>
      <c r="E10" s="49"/>
      <c r="F10" s="49"/>
      <c r="G10" s="49"/>
      <c r="H10" s="49"/>
    </row>
    <row r="11" spans="2:48" ht="12.75" customHeight="1" x14ac:dyDescent="0.2">
      <c r="B11" s="49" t="s">
        <v>396</v>
      </c>
      <c r="C11" s="49"/>
      <c r="D11" s="49"/>
      <c r="E11" s="49"/>
      <c r="F11" s="49"/>
      <c r="G11" s="49"/>
      <c r="H11" s="49"/>
    </row>
    <row r="12" spans="2:48" ht="26.25" customHeight="1" x14ac:dyDescent="0.2">
      <c r="B12" s="300" t="s">
        <v>219</v>
      </c>
      <c r="C12" s="300"/>
      <c r="D12" s="64"/>
      <c r="E12" s="64"/>
      <c r="F12" s="64"/>
      <c r="G12" s="64"/>
      <c r="H12" s="64"/>
    </row>
    <row r="13" spans="2:48" ht="78" customHeight="1" x14ac:dyDescent="0.2">
      <c r="B13" s="300" t="s">
        <v>316</v>
      </c>
      <c r="C13" s="300"/>
    </row>
    <row r="14" spans="2:48" ht="37.5" customHeight="1" x14ac:dyDescent="0.2">
      <c r="B14" s="301" t="s">
        <v>345</v>
      </c>
      <c r="C14" s="302"/>
    </row>
    <row r="15" spans="2:48" x14ac:dyDescent="0.2">
      <c r="B15" s="56" t="s">
        <v>346</v>
      </c>
    </row>
    <row r="16" spans="2:48" x14ac:dyDescent="0.2">
      <c r="B16" s="56"/>
    </row>
    <row r="18" spans="2:2" x14ac:dyDescent="0.2">
      <c r="B18" s="56"/>
    </row>
    <row r="22" spans="2:2" x14ac:dyDescent="0.2">
      <c r="B22" s="122"/>
    </row>
    <row r="23" spans="2:2" x14ac:dyDescent="0.2">
      <c r="B23" s="130"/>
    </row>
    <row r="24" spans="2:2" x14ac:dyDescent="0.2">
      <c r="B24" s="130"/>
    </row>
    <row r="25" spans="2:2" x14ac:dyDescent="0.2">
      <c r="B25" s="130"/>
    </row>
  </sheetData>
  <mergeCells count="4">
    <mergeCell ref="B10:C10"/>
    <mergeCell ref="B12:C12"/>
    <mergeCell ref="B13:C13"/>
    <mergeCell ref="B14:C14"/>
  </mergeCells>
  <hyperlinks>
    <hyperlink ref="B4" location="'Muskrat Falls'!A1" display="Muskrat Falls"/>
    <hyperlink ref="B5" location="'MF to CF TL'!A1" display="MF to CF 345 kV TL"/>
    <hyperlink ref="B6" location="'Island Link'!A1" display="Island Link"/>
  </hyperlinks>
  <printOptions horizontalCentered="1"/>
  <pageMargins left="0.75" right="0.75" top="1" bottom="1" header="0.5" footer="0.5"/>
  <pageSetup scale="67" orientation="landscape" r:id="rId1"/>
  <headerFooter alignWithMargins="0">
    <oddFooter>&amp;LLCP Opex Estimate - Summary&amp;R&amp;P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30"/>
  <sheetViews>
    <sheetView showGridLines="0" topLeftCell="A16" zoomScale="85" zoomScaleNormal="85" workbookViewId="0">
      <selection activeCell="I69" sqref="I69"/>
    </sheetView>
  </sheetViews>
  <sheetFormatPr defaultColWidth="9.140625" defaultRowHeight="12.75" x14ac:dyDescent="0.2"/>
  <cols>
    <col min="1" max="1" width="4.7109375" style="1" customWidth="1"/>
    <col min="2" max="2" width="60.5703125" style="1" customWidth="1"/>
    <col min="3" max="3" width="45.85546875" style="1" hidden="1" customWidth="1"/>
    <col min="4" max="4" width="47.140625" style="1" bestFit="1" customWidth="1"/>
    <col min="5" max="5" width="8.28515625" style="1" bestFit="1" customWidth="1"/>
    <col min="6" max="6" width="8.28515625" style="1" customWidth="1"/>
    <col min="7" max="7" width="14.7109375" style="1" bestFit="1" customWidth="1"/>
    <col min="8" max="8" width="23.28515625" style="1" bestFit="1" customWidth="1"/>
    <col min="9" max="9" width="15.85546875" style="1" bestFit="1" customWidth="1"/>
    <col min="10" max="10" width="5.7109375" style="1" bestFit="1" customWidth="1"/>
    <col min="11" max="11" width="2.7109375" style="1" customWidth="1"/>
    <col min="12" max="16384" width="9.140625" style="1"/>
  </cols>
  <sheetData>
    <row r="2" spans="1:11" ht="23.25" x14ac:dyDescent="0.35">
      <c r="A2" s="15"/>
      <c r="B2" s="228" t="s">
        <v>308</v>
      </c>
      <c r="C2" s="5"/>
      <c r="D2" s="61" t="s">
        <v>279</v>
      </c>
      <c r="E2" s="6"/>
      <c r="F2" s="6"/>
      <c r="G2" s="6"/>
      <c r="H2" s="6"/>
      <c r="I2" s="6"/>
      <c r="J2" s="6"/>
      <c r="K2" s="6"/>
    </row>
    <row r="3" spans="1:11" s="15" customFormat="1" ht="7.5" customHeight="1" x14ac:dyDescent="0.2">
      <c r="B3" s="71"/>
      <c r="C3" s="17"/>
      <c r="D3" s="17"/>
      <c r="E3" s="17"/>
      <c r="F3" s="17"/>
      <c r="G3" s="17"/>
      <c r="H3" s="17"/>
      <c r="I3" s="17"/>
      <c r="J3" s="17"/>
      <c r="K3" s="17"/>
    </row>
    <row r="4" spans="1:11" ht="23.25" customHeight="1" x14ac:dyDescent="0.2">
      <c r="B4" s="72" t="s">
        <v>13</v>
      </c>
      <c r="C4" s="73" t="s">
        <v>24</v>
      </c>
      <c r="D4" s="72" t="s">
        <v>22</v>
      </c>
      <c r="E4" s="72" t="s">
        <v>1</v>
      </c>
      <c r="F4" s="72" t="s">
        <v>14</v>
      </c>
      <c r="G4" s="74" t="s">
        <v>202</v>
      </c>
      <c r="H4" s="74"/>
      <c r="I4" s="72" t="s">
        <v>2</v>
      </c>
      <c r="J4" s="72" t="s">
        <v>86</v>
      </c>
      <c r="K4" s="75"/>
    </row>
    <row r="5" spans="1:11" ht="18" customHeight="1" x14ac:dyDescent="0.2">
      <c r="B5" s="134" t="s">
        <v>190</v>
      </c>
      <c r="C5" s="2"/>
      <c r="D5" s="76"/>
      <c r="E5" s="77"/>
      <c r="F5" s="77"/>
      <c r="G5" s="78" t="s">
        <v>84</v>
      </c>
      <c r="H5" s="79" t="s">
        <v>195</v>
      </c>
      <c r="I5" s="80"/>
      <c r="J5" s="81"/>
      <c r="K5" s="2"/>
    </row>
    <row r="6" spans="1:11" ht="15" customHeight="1" x14ac:dyDescent="0.2">
      <c r="B6" s="135" t="s">
        <v>39</v>
      </c>
      <c r="C6" s="2" t="s">
        <v>28</v>
      </c>
      <c r="D6" s="83" t="s">
        <v>40</v>
      </c>
      <c r="E6" s="265">
        <v>1</v>
      </c>
      <c r="F6" s="84" t="s">
        <v>332</v>
      </c>
      <c r="G6" s="85">
        <v>130000</v>
      </c>
      <c r="H6" s="86">
        <v>0.3</v>
      </c>
      <c r="I6" s="85">
        <f t="shared" ref="I6:I17" si="0">+(H6+1)*G6*E6</f>
        <v>169000</v>
      </c>
      <c r="J6" s="85" t="s">
        <v>91</v>
      </c>
      <c r="K6" s="87"/>
    </row>
    <row r="7" spans="1:11" x14ac:dyDescent="0.2">
      <c r="B7" s="135" t="s">
        <v>197</v>
      </c>
      <c r="C7" s="2"/>
      <c r="D7" s="83" t="s">
        <v>40</v>
      </c>
      <c r="E7" s="265">
        <v>1</v>
      </c>
      <c r="F7" s="84" t="s">
        <v>332</v>
      </c>
      <c r="G7" s="85">
        <v>95000</v>
      </c>
      <c r="H7" s="86">
        <v>0.3</v>
      </c>
      <c r="I7" s="85">
        <f t="shared" si="0"/>
        <v>123500</v>
      </c>
      <c r="J7" s="85" t="s">
        <v>199</v>
      </c>
      <c r="K7" s="87"/>
    </row>
    <row r="8" spans="1:11" x14ac:dyDescent="0.2">
      <c r="B8" s="135" t="s">
        <v>41</v>
      </c>
      <c r="C8" s="2"/>
      <c r="D8" s="83" t="s">
        <v>42</v>
      </c>
      <c r="E8" s="265">
        <v>1</v>
      </c>
      <c r="F8" s="84" t="s">
        <v>332</v>
      </c>
      <c r="G8" s="85">
        <v>95000</v>
      </c>
      <c r="H8" s="86">
        <v>0.3</v>
      </c>
      <c r="I8" s="85">
        <f t="shared" si="0"/>
        <v>123500</v>
      </c>
      <c r="J8" s="85" t="s">
        <v>93</v>
      </c>
      <c r="K8" s="87"/>
    </row>
    <row r="9" spans="1:11" x14ac:dyDescent="0.2">
      <c r="B9" s="135" t="s">
        <v>43</v>
      </c>
      <c r="C9" s="2"/>
      <c r="D9" s="88" t="s">
        <v>230</v>
      </c>
      <c r="E9" s="265">
        <v>4</v>
      </c>
      <c r="F9" s="84" t="s">
        <v>332</v>
      </c>
      <c r="G9" s="85">
        <v>76000</v>
      </c>
      <c r="H9" s="86">
        <v>0.3</v>
      </c>
      <c r="I9" s="85">
        <f t="shared" si="0"/>
        <v>395200</v>
      </c>
      <c r="J9" s="85" t="s">
        <v>92</v>
      </c>
      <c r="K9" s="87"/>
    </row>
    <row r="10" spans="1:11" x14ac:dyDescent="0.2">
      <c r="B10" s="135" t="s">
        <v>95</v>
      </c>
      <c r="C10" s="2"/>
      <c r="D10" s="88" t="s">
        <v>203</v>
      </c>
      <c r="E10" s="265">
        <v>1</v>
      </c>
      <c r="F10" s="84" t="s">
        <v>332</v>
      </c>
      <c r="G10" s="85">
        <v>72000</v>
      </c>
      <c r="H10" s="86">
        <v>0.3</v>
      </c>
      <c r="I10" s="85">
        <f t="shared" si="0"/>
        <v>93600</v>
      </c>
      <c r="J10" s="85" t="s">
        <v>207</v>
      </c>
      <c r="K10" s="87"/>
    </row>
    <row r="11" spans="1:11" x14ac:dyDescent="0.2">
      <c r="B11" s="135" t="s">
        <v>96</v>
      </c>
      <c r="C11" s="2"/>
      <c r="D11" s="88" t="s">
        <v>203</v>
      </c>
      <c r="E11" s="265">
        <v>1</v>
      </c>
      <c r="F11" s="84" t="s">
        <v>332</v>
      </c>
      <c r="G11" s="85">
        <v>72000</v>
      </c>
      <c r="H11" s="86">
        <v>0.3</v>
      </c>
      <c r="I11" s="85">
        <f t="shared" si="0"/>
        <v>93600</v>
      </c>
      <c r="J11" s="85" t="s">
        <v>141</v>
      </c>
      <c r="K11" s="87"/>
    </row>
    <row r="12" spans="1:11" x14ac:dyDescent="0.2">
      <c r="B12" s="135" t="s">
        <v>97</v>
      </c>
      <c r="C12" s="2"/>
      <c r="D12" s="88" t="s">
        <v>136</v>
      </c>
      <c r="E12" s="265">
        <v>1</v>
      </c>
      <c r="F12" s="84" t="s">
        <v>332</v>
      </c>
      <c r="G12" s="85">
        <v>80000</v>
      </c>
      <c r="H12" s="86">
        <v>0.3</v>
      </c>
      <c r="I12" s="85">
        <f t="shared" si="0"/>
        <v>104000</v>
      </c>
      <c r="J12" s="85" t="s">
        <v>98</v>
      </c>
      <c r="K12" s="87"/>
    </row>
    <row r="13" spans="1:11" x14ac:dyDescent="0.2">
      <c r="B13" s="135" t="s">
        <v>44</v>
      </c>
      <c r="C13" s="2"/>
      <c r="D13" s="89" t="s">
        <v>45</v>
      </c>
      <c r="E13" s="265">
        <v>1</v>
      </c>
      <c r="F13" s="84" t="s">
        <v>332</v>
      </c>
      <c r="G13" s="85">
        <v>47000</v>
      </c>
      <c r="H13" s="86">
        <v>0.3</v>
      </c>
      <c r="I13" s="85">
        <f t="shared" si="0"/>
        <v>61100</v>
      </c>
      <c r="J13" s="85" t="s">
        <v>112</v>
      </c>
      <c r="K13" s="87"/>
    </row>
    <row r="14" spans="1:11" x14ac:dyDescent="0.2">
      <c r="B14" s="135" t="s">
        <v>46</v>
      </c>
      <c r="C14" s="2"/>
      <c r="D14" s="89" t="s">
        <v>47</v>
      </c>
      <c r="E14" s="265">
        <v>1</v>
      </c>
      <c r="F14" s="84" t="s">
        <v>332</v>
      </c>
      <c r="G14" s="85">
        <v>70000</v>
      </c>
      <c r="H14" s="86">
        <v>0.3</v>
      </c>
      <c r="I14" s="85">
        <f t="shared" si="0"/>
        <v>91000</v>
      </c>
      <c r="J14" s="85" t="s">
        <v>100</v>
      </c>
      <c r="K14" s="87"/>
    </row>
    <row r="15" spans="1:11" x14ac:dyDescent="0.2">
      <c r="B15" s="135" t="s">
        <v>48</v>
      </c>
      <c r="C15" s="2"/>
      <c r="D15" s="89" t="s">
        <v>204</v>
      </c>
      <c r="E15" s="265">
        <v>1</v>
      </c>
      <c r="F15" s="84" t="s">
        <v>332</v>
      </c>
      <c r="G15" s="85">
        <v>63000</v>
      </c>
      <c r="H15" s="86">
        <v>0.3</v>
      </c>
      <c r="I15" s="85">
        <f t="shared" si="0"/>
        <v>81900</v>
      </c>
      <c r="J15" s="85" t="s">
        <v>102</v>
      </c>
      <c r="K15" s="87"/>
    </row>
    <row r="16" spans="1:11" ht="15.75" customHeight="1" x14ac:dyDescent="0.2">
      <c r="B16" s="135" t="s">
        <v>49</v>
      </c>
      <c r="C16" s="2"/>
      <c r="D16" s="89" t="s">
        <v>200</v>
      </c>
      <c r="E16" s="265">
        <v>1</v>
      </c>
      <c r="F16" s="84" t="s">
        <v>332</v>
      </c>
      <c r="G16" s="85">
        <v>55000</v>
      </c>
      <c r="H16" s="86">
        <v>0.3</v>
      </c>
      <c r="I16" s="85">
        <f t="shared" si="0"/>
        <v>71500</v>
      </c>
      <c r="J16" s="85" t="s">
        <v>103</v>
      </c>
      <c r="K16" s="87"/>
    </row>
    <row r="17" spans="2:11" x14ac:dyDescent="0.2">
      <c r="B17" s="135" t="s">
        <v>50</v>
      </c>
      <c r="C17" s="2"/>
      <c r="D17" s="89" t="s">
        <v>51</v>
      </c>
      <c r="E17" s="265">
        <v>1</v>
      </c>
      <c r="F17" s="84" t="s">
        <v>332</v>
      </c>
      <c r="G17" s="85">
        <v>80000</v>
      </c>
      <c r="H17" s="86">
        <v>0.3</v>
      </c>
      <c r="I17" s="85">
        <f t="shared" si="0"/>
        <v>104000</v>
      </c>
      <c r="J17" s="85" t="s">
        <v>104</v>
      </c>
      <c r="K17" s="87"/>
    </row>
    <row r="18" spans="2:11" s="39" customFormat="1" x14ac:dyDescent="0.2">
      <c r="B18" s="102" t="s">
        <v>94</v>
      </c>
      <c r="C18" s="91"/>
      <c r="D18" s="89"/>
      <c r="E18" s="265"/>
      <c r="F18" s="85"/>
      <c r="G18" s="85"/>
      <c r="H18" s="86"/>
      <c r="I18" s="85">
        <f>(SUM(I6:I17)-I6-I7-I17)*0.15</f>
        <v>167310</v>
      </c>
      <c r="J18" s="85" t="s">
        <v>106</v>
      </c>
      <c r="K18" s="87"/>
    </row>
    <row r="19" spans="2:11" s="39" customFormat="1" x14ac:dyDescent="0.2">
      <c r="B19" s="102" t="s">
        <v>119</v>
      </c>
      <c r="C19" s="91"/>
      <c r="D19" s="89" t="s">
        <v>205</v>
      </c>
      <c r="E19" s="265">
        <v>1</v>
      </c>
      <c r="F19" s="85" t="s">
        <v>348</v>
      </c>
      <c r="G19" s="85"/>
      <c r="H19" s="86"/>
      <c r="I19" s="85">
        <v>75000</v>
      </c>
      <c r="J19" s="85" t="s">
        <v>122</v>
      </c>
      <c r="K19" s="87"/>
    </row>
    <row r="20" spans="2:11" s="39" customFormat="1" x14ac:dyDescent="0.2">
      <c r="B20" s="102" t="s">
        <v>120</v>
      </c>
      <c r="C20" s="91"/>
      <c r="D20" s="89" t="s">
        <v>206</v>
      </c>
      <c r="E20" s="265">
        <v>1</v>
      </c>
      <c r="F20" s="85" t="s">
        <v>348</v>
      </c>
      <c r="G20" s="85"/>
      <c r="H20" s="86"/>
      <c r="I20" s="85">
        <v>100000</v>
      </c>
      <c r="J20" s="85" t="s">
        <v>122</v>
      </c>
      <c r="K20" s="87"/>
    </row>
    <row r="21" spans="2:11" s="39" customFormat="1" x14ac:dyDescent="0.2">
      <c r="B21" s="136" t="s">
        <v>184</v>
      </c>
      <c r="C21" s="91"/>
      <c r="D21" s="92"/>
      <c r="E21" s="268">
        <f>SUM(E6:E17)</f>
        <v>15</v>
      </c>
      <c r="F21" s="93"/>
      <c r="G21" s="94"/>
      <c r="H21" s="94"/>
      <c r="I21" s="94">
        <f>SUM(I6:I20)</f>
        <v>1854210</v>
      </c>
      <c r="J21" s="94"/>
      <c r="K21" s="28"/>
    </row>
    <row r="22" spans="2:11" s="39" customFormat="1" x14ac:dyDescent="0.2">
      <c r="B22" s="137" t="s">
        <v>185</v>
      </c>
      <c r="C22" s="91"/>
      <c r="D22" s="95"/>
      <c r="E22" s="96"/>
      <c r="F22" s="96"/>
      <c r="G22" s="97" t="s">
        <v>202</v>
      </c>
      <c r="H22" s="98" t="s">
        <v>196</v>
      </c>
      <c r="I22" s="99"/>
      <c r="J22" s="99"/>
      <c r="K22" s="100"/>
    </row>
    <row r="23" spans="2:11" s="39" customFormat="1" x14ac:dyDescent="0.2">
      <c r="B23" s="135" t="s">
        <v>35</v>
      </c>
      <c r="C23" s="91" t="s">
        <v>16</v>
      </c>
      <c r="D23" s="101"/>
      <c r="E23" s="269">
        <v>2</v>
      </c>
      <c r="F23" s="96" t="s">
        <v>349</v>
      </c>
      <c r="G23" s="99">
        <v>42000</v>
      </c>
      <c r="H23" s="96">
        <v>5</v>
      </c>
      <c r="I23" s="99">
        <f t="shared" ref="I23:I32" si="1">+E23*G23/H23</f>
        <v>16800</v>
      </c>
      <c r="J23" s="99" t="s">
        <v>110</v>
      </c>
      <c r="K23" s="100"/>
    </row>
    <row r="24" spans="2:11" s="39" customFormat="1" x14ac:dyDescent="0.2">
      <c r="B24" s="135" t="s">
        <v>32</v>
      </c>
      <c r="C24" s="91" t="s">
        <v>16</v>
      </c>
      <c r="D24" s="101"/>
      <c r="E24" s="269">
        <v>2</v>
      </c>
      <c r="F24" s="96" t="s">
        <v>349</v>
      </c>
      <c r="G24" s="99">
        <v>39000</v>
      </c>
      <c r="H24" s="96">
        <v>5</v>
      </c>
      <c r="I24" s="99">
        <f t="shared" si="1"/>
        <v>15600</v>
      </c>
      <c r="J24" s="99" t="s">
        <v>110</v>
      </c>
      <c r="K24" s="100"/>
    </row>
    <row r="25" spans="2:11" s="39" customFormat="1" x14ac:dyDescent="0.2">
      <c r="B25" s="135" t="s">
        <v>31</v>
      </c>
      <c r="C25" s="91" t="s">
        <v>16</v>
      </c>
      <c r="D25" s="101"/>
      <c r="E25" s="269">
        <v>1</v>
      </c>
      <c r="F25" s="96" t="s">
        <v>349</v>
      </c>
      <c r="G25" s="99">
        <v>39000</v>
      </c>
      <c r="H25" s="96">
        <v>5</v>
      </c>
      <c r="I25" s="99">
        <f t="shared" si="1"/>
        <v>7800</v>
      </c>
      <c r="J25" s="99" t="s">
        <v>110</v>
      </c>
      <c r="K25" s="100"/>
    </row>
    <row r="26" spans="2:11" s="39" customFormat="1" x14ac:dyDescent="0.2">
      <c r="B26" s="102" t="s">
        <v>53</v>
      </c>
      <c r="C26" s="91" t="s">
        <v>17</v>
      </c>
      <c r="D26" s="101"/>
      <c r="E26" s="269">
        <v>2</v>
      </c>
      <c r="F26" s="96" t="s">
        <v>349</v>
      </c>
      <c r="G26" s="99">
        <v>15000</v>
      </c>
      <c r="H26" s="96">
        <v>5</v>
      </c>
      <c r="I26" s="99">
        <f t="shared" si="1"/>
        <v>6000</v>
      </c>
      <c r="J26" s="99" t="s">
        <v>110</v>
      </c>
      <c r="K26" s="100"/>
    </row>
    <row r="27" spans="2:11" s="39" customFormat="1" x14ac:dyDescent="0.2">
      <c r="B27" s="102" t="s">
        <v>191</v>
      </c>
      <c r="C27" s="91" t="s">
        <v>17</v>
      </c>
      <c r="D27" s="101"/>
      <c r="E27" s="269">
        <v>2</v>
      </c>
      <c r="F27" s="96" t="s">
        <v>349</v>
      </c>
      <c r="G27" s="99">
        <v>15000</v>
      </c>
      <c r="H27" s="96">
        <v>5</v>
      </c>
      <c r="I27" s="99">
        <f t="shared" si="1"/>
        <v>6000</v>
      </c>
      <c r="J27" s="99" t="s">
        <v>110</v>
      </c>
      <c r="K27" s="100"/>
    </row>
    <row r="28" spans="2:11" s="39" customFormat="1" x14ac:dyDescent="0.2">
      <c r="B28" s="102" t="s">
        <v>54</v>
      </c>
      <c r="C28" s="91" t="s">
        <v>55</v>
      </c>
      <c r="D28" s="101"/>
      <c r="E28" s="269">
        <v>1</v>
      </c>
      <c r="F28" s="96" t="s">
        <v>349</v>
      </c>
      <c r="G28" s="99">
        <v>25000</v>
      </c>
      <c r="H28" s="96">
        <v>10</v>
      </c>
      <c r="I28" s="99">
        <f t="shared" si="1"/>
        <v>2500</v>
      </c>
      <c r="J28" s="99" t="s">
        <v>110</v>
      </c>
      <c r="K28" s="100"/>
    </row>
    <row r="29" spans="2:11" s="39" customFormat="1" x14ac:dyDescent="0.2">
      <c r="B29" s="102" t="s">
        <v>56</v>
      </c>
      <c r="C29" s="91" t="s">
        <v>55</v>
      </c>
      <c r="D29" s="101"/>
      <c r="E29" s="269">
        <v>1</v>
      </c>
      <c r="F29" s="96" t="s">
        <v>349</v>
      </c>
      <c r="G29" s="99">
        <v>125000</v>
      </c>
      <c r="H29" s="96">
        <v>10</v>
      </c>
      <c r="I29" s="99">
        <f t="shared" si="1"/>
        <v>12500</v>
      </c>
      <c r="J29" s="99" t="s">
        <v>110</v>
      </c>
      <c r="K29" s="100"/>
    </row>
    <row r="30" spans="2:11" s="39" customFormat="1" x14ac:dyDescent="0.2">
      <c r="B30" s="102" t="s">
        <v>57</v>
      </c>
      <c r="C30" s="91" t="s">
        <v>55</v>
      </c>
      <c r="D30" s="101"/>
      <c r="E30" s="269">
        <v>1</v>
      </c>
      <c r="F30" s="96" t="s">
        <v>349</v>
      </c>
      <c r="G30" s="99">
        <v>75000</v>
      </c>
      <c r="H30" s="96">
        <v>10</v>
      </c>
      <c r="I30" s="99">
        <f t="shared" si="1"/>
        <v>7500</v>
      </c>
      <c r="J30" s="99" t="s">
        <v>110</v>
      </c>
      <c r="K30" s="100"/>
    </row>
    <row r="31" spans="2:11" s="39" customFormat="1" x14ac:dyDescent="0.2">
      <c r="B31" s="102" t="s">
        <v>58</v>
      </c>
      <c r="C31" s="91" t="s">
        <v>17</v>
      </c>
      <c r="D31" s="102" t="s">
        <v>229</v>
      </c>
      <c r="E31" s="269">
        <v>1</v>
      </c>
      <c r="F31" s="96" t="s">
        <v>349</v>
      </c>
      <c r="G31" s="99">
        <v>50000</v>
      </c>
      <c r="H31" s="96">
        <v>10</v>
      </c>
      <c r="I31" s="99">
        <f t="shared" si="1"/>
        <v>5000</v>
      </c>
      <c r="J31" s="99" t="s">
        <v>110</v>
      </c>
      <c r="K31" s="100"/>
    </row>
    <row r="32" spans="2:11" s="39" customFormat="1" x14ac:dyDescent="0.2">
      <c r="B32" s="102" t="s">
        <v>59</v>
      </c>
      <c r="C32" s="91" t="s">
        <v>55</v>
      </c>
      <c r="D32" s="101"/>
      <c r="E32" s="269">
        <v>1</v>
      </c>
      <c r="F32" s="96" t="s">
        <v>349</v>
      </c>
      <c r="G32" s="99">
        <v>75000</v>
      </c>
      <c r="H32" s="96">
        <v>10</v>
      </c>
      <c r="I32" s="99">
        <f t="shared" si="1"/>
        <v>7500</v>
      </c>
      <c r="J32" s="99" t="s">
        <v>110</v>
      </c>
      <c r="K32" s="100"/>
    </row>
    <row r="33" spans="2:11" s="39" customFormat="1" x14ac:dyDescent="0.2">
      <c r="B33" s="102" t="s">
        <v>118</v>
      </c>
      <c r="C33" s="91"/>
      <c r="D33" s="101"/>
      <c r="E33" s="96"/>
      <c r="F33" s="96"/>
      <c r="G33" s="99"/>
      <c r="H33" s="96"/>
      <c r="I33" s="99">
        <v>50000</v>
      </c>
      <c r="J33" s="99" t="s">
        <v>122</v>
      </c>
      <c r="K33" s="100"/>
    </row>
    <row r="34" spans="2:11" s="39" customFormat="1" x14ac:dyDescent="0.2">
      <c r="B34" s="136" t="s">
        <v>184</v>
      </c>
      <c r="C34" s="91"/>
      <c r="D34" s="92"/>
      <c r="E34" s="93"/>
      <c r="F34" s="93"/>
      <c r="G34" s="94"/>
      <c r="H34" s="94"/>
      <c r="I34" s="94">
        <f>SUM(I23:I33)</f>
        <v>137200</v>
      </c>
      <c r="J34" s="94"/>
      <c r="K34" s="28"/>
    </row>
    <row r="35" spans="2:11" s="39" customFormat="1" x14ac:dyDescent="0.2">
      <c r="B35" s="137" t="s">
        <v>186</v>
      </c>
      <c r="C35" s="91"/>
      <c r="D35" s="103"/>
      <c r="E35" s="99"/>
      <c r="F35" s="99"/>
      <c r="G35" s="99"/>
      <c r="H35" s="99"/>
      <c r="I35" s="99"/>
      <c r="J35" s="99"/>
      <c r="K35" s="100"/>
    </row>
    <row r="36" spans="2:11" s="39" customFormat="1" x14ac:dyDescent="0.2">
      <c r="B36" s="102" t="s">
        <v>60</v>
      </c>
      <c r="C36" s="91" t="s">
        <v>61</v>
      </c>
      <c r="D36" s="101"/>
      <c r="E36" s="269">
        <v>1</v>
      </c>
      <c r="F36" s="99" t="s">
        <v>348</v>
      </c>
      <c r="G36" s="99">
        <v>150000</v>
      </c>
      <c r="H36" s="99"/>
      <c r="I36" s="99">
        <v>150000</v>
      </c>
      <c r="J36" s="99"/>
      <c r="K36" s="100"/>
    </row>
    <row r="37" spans="2:11" s="39" customFormat="1" x14ac:dyDescent="0.2">
      <c r="B37" s="102" t="s">
        <v>62</v>
      </c>
      <c r="C37" s="91" t="s">
        <v>63</v>
      </c>
      <c r="D37" s="101"/>
      <c r="E37" s="269">
        <v>1</v>
      </c>
      <c r="F37" s="99" t="s">
        <v>348</v>
      </c>
      <c r="G37" s="99">
        <v>300000</v>
      </c>
      <c r="H37" s="99"/>
      <c r="I37" s="99">
        <v>300000</v>
      </c>
      <c r="J37" s="99"/>
      <c r="K37" s="100"/>
    </row>
    <row r="38" spans="2:11" s="39" customFormat="1" x14ac:dyDescent="0.2">
      <c r="B38" s="102" t="s">
        <v>65</v>
      </c>
      <c r="C38" s="91" t="s">
        <v>66</v>
      </c>
      <c r="D38" s="101"/>
      <c r="E38" s="269">
        <v>1</v>
      </c>
      <c r="F38" s="99" t="s">
        <v>348</v>
      </c>
      <c r="G38" s="99">
        <v>52000</v>
      </c>
      <c r="H38" s="99"/>
      <c r="I38" s="99">
        <v>52000</v>
      </c>
      <c r="J38" s="99"/>
      <c r="K38" s="100"/>
    </row>
    <row r="39" spans="2:11" s="39" customFormat="1" x14ac:dyDescent="0.2">
      <c r="B39" s="102" t="s">
        <v>67</v>
      </c>
      <c r="C39" s="91" t="s">
        <v>68</v>
      </c>
      <c r="D39" s="101"/>
      <c r="E39" s="269">
        <v>1</v>
      </c>
      <c r="F39" s="99" t="s">
        <v>348</v>
      </c>
      <c r="G39" s="99">
        <v>200000</v>
      </c>
      <c r="H39" s="99"/>
      <c r="I39" s="99">
        <v>200000</v>
      </c>
      <c r="J39" s="99" t="s">
        <v>226</v>
      </c>
      <c r="K39" s="100"/>
    </row>
    <row r="40" spans="2:11" s="39" customFormat="1" x14ac:dyDescent="0.2">
      <c r="B40" s="102" t="s">
        <v>69</v>
      </c>
      <c r="C40" s="91" t="s">
        <v>70</v>
      </c>
      <c r="D40" s="101"/>
      <c r="E40" s="269">
        <v>1</v>
      </c>
      <c r="F40" s="99" t="s">
        <v>348</v>
      </c>
      <c r="G40" s="99">
        <v>25000</v>
      </c>
      <c r="H40" s="99"/>
      <c r="I40" s="99">
        <v>25000</v>
      </c>
      <c r="J40" s="99"/>
      <c r="K40" s="100"/>
    </row>
    <row r="41" spans="2:11" s="39" customFormat="1" x14ac:dyDescent="0.2">
      <c r="B41" s="102" t="s">
        <v>71</v>
      </c>
      <c r="C41" s="91" t="s">
        <v>70</v>
      </c>
      <c r="D41" s="101"/>
      <c r="E41" s="269">
        <v>1</v>
      </c>
      <c r="F41" s="99" t="s">
        <v>348</v>
      </c>
      <c r="G41" s="99">
        <v>50000</v>
      </c>
      <c r="H41" s="99"/>
      <c r="I41" s="99">
        <v>50000</v>
      </c>
      <c r="J41" s="99" t="s">
        <v>114</v>
      </c>
      <c r="K41" s="100"/>
    </row>
    <row r="42" spans="2:11" s="39" customFormat="1" x14ac:dyDescent="0.2">
      <c r="B42" s="102" t="s">
        <v>72</v>
      </c>
      <c r="C42" s="91" t="s">
        <v>70</v>
      </c>
      <c r="D42" s="101"/>
      <c r="E42" s="269">
        <v>1</v>
      </c>
      <c r="F42" s="99" t="s">
        <v>348</v>
      </c>
      <c r="G42" s="99">
        <v>50000</v>
      </c>
      <c r="H42" s="99"/>
      <c r="I42" s="99">
        <v>50000</v>
      </c>
      <c r="J42" s="99" t="s">
        <v>114</v>
      </c>
      <c r="K42" s="100"/>
    </row>
    <row r="43" spans="2:11" s="39" customFormat="1" x14ac:dyDescent="0.2">
      <c r="B43" s="102" t="s">
        <v>113</v>
      </c>
      <c r="C43" s="91"/>
      <c r="D43" s="101"/>
      <c r="E43" s="269">
        <v>1</v>
      </c>
      <c r="F43" s="99" t="s">
        <v>348</v>
      </c>
      <c r="G43" s="99">
        <f>4*500*100</f>
        <v>200000</v>
      </c>
      <c r="H43" s="99"/>
      <c r="I43" s="99">
        <f>4*500*100</f>
        <v>200000</v>
      </c>
      <c r="J43" s="99" t="s">
        <v>115</v>
      </c>
      <c r="K43" s="100"/>
    </row>
    <row r="44" spans="2:11" s="39" customFormat="1" x14ac:dyDescent="0.2">
      <c r="B44" s="102" t="s">
        <v>117</v>
      </c>
      <c r="C44" s="91"/>
      <c r="D44" s="101"/>
      <c r="E44" s="269">
        <v>1</v>
      </c>
      <c r="F44" s="99" t="s">
        <v>348</v>
      </c>
      <c r="G44" s="99">
        <v>10000</v>
      </c>
      <c r="H44" s="99"/>
      <c r="I44" s="99">
        <v>10000</v>
      </c>
      <c r="J44" s="99" t="s">
        <v>121</v>
      </c>
      <c r="K44" s="100"/>
    </row>
    <row r="45" spans="2:11" s="39" customFormat="1" x14ac:dyDescent="0.2">
      <c r="B45" s="102" t="s">
        <v>73</v>
      </c>
      <c r="C45" s="91" t="s">
        <v>74</v>
      </c>
      <c r="D45" s="101"/>
      <c r="E45" s="269">
        <v>1</v>
      </c>
      <c r="F45" s="99" t="s">
        <v>348</v>
      </c>
      <c r="G45" s="99">
        <v>50000</v>
      </c>
      <c r="H45" s="99"/>
      <c r="I45" s="99">
        <v>50000</v>
      </c>
      <c r="J45" s="99"/>
      <c r="K45" s="100"/>
    </row>
    <row r="46" spans="2:11" s="39" customFormat="1" x14ac:dyDescent="0.2">
      <c r="B46" s="102" t="s">
        <v>75</v>
      </c>
      <c r="C46" s="91" t="s">
        <v>76</v>
      </c>
      <c r="D46" s="101"/>
      <c r="E46" s="269">
        <v>1</v>
      </c>
      <c r="F46" s="99" t="s">
        <v>348</v>
      </c>
      <c r="G46" s="99">
        <v>50000</v>
      </c>
      <c r="H46" s="99"/>
      <c r="I46" s="99">
        <v>50000</v>
      </c>
      <c r="J46" s="99" t="s">
        <v>121</v>
      </c>
      <c r="K46" s="100"/>
    </row>
    <row r="47" spans="2:11" s="39" customFormat="1" x14ac:dyDescent="0.2">
      <c r="B47" s="102" t="s">
        <v>77</v>
      </c>
      <c r="C47" s="91" t="s">
        <v>76</v>
      </c>
      <c r="D47" s="101"/>
      <c r="E47" s="269">
        <v>1</v>
      </c>
      <c r="F47" s="99" t="s">
        <v>348</v>
      </c>
      <c r="G47" s="99">
        <v>25000</v>
      </c>
      <c r="H47" s="99"/>
      <c r="I47" s="99">
        <v>25000</v>
      </c>
      <c r="J47" s="99" t="s">
        <v>121</v>
      </c>
      <c r="K47" s="100"/>
    </row>
    <row r="48" spans="2:11" s="39" customFormat="1" x14ac:dyDescent="0.2">
      <c r="B48" s="102" t="s">
        <v>78</v>
      </c>
      <c r="C48" s="91" t="s">
        <v>76</v>
      </c>
      <c r="D48" s="101"/>
      <c r="E48" s="269">
        <v>1</v>
      </c>
      <c r="F48" s="99" t="s">
        <v>348</v>
      </c>
      <c r="G48" s="99">
        <v>25000</v>
      </c>
      <c r="H48" s="99"/>
      <c r="I48" s="99">
        <v>25000</v>
      </c>
      <c r="J48" s="99" t="s">
        <v>121</v>
      </c>
      <c r="K48" s="100"/>
    </row>
    <row r="49" spans="2:11" s="39" customFormat="1" x14ac:dyDescent="0.2">
      <c r="B49" s="102" t="s">
        <v>79</v>
      </c>
      <c r="C49" s="91" t="s">
        <v>74</v>
      </c>
      <c r="D49" s="101"/>
      <c r="E49" s="269">
        <v>1</v>
      </c>
      <c r="F49" s="99" t="s">
        <v>348</v>
      </c>
      <c r="G49" s="99">
        <v>50000</v>
      </c>
      <c r="H49" s="99"/>
      <c r="I49" s="99">
        <v>50000</v>
      </c>
      <c r="J49" s="99" t="s">
        <v>121</v>
      </c>
      <c r="K49" s="100"/>
    </row>
    <row r="50" spans="2:11" s="39" customFormat="1" x14ac:dyDescent="0.2">
      <c r="B50" s="102" t="s">
        <v>80</v>
      </c>
      <c r="C50" s="91" t="s">
        <v>76</v>
      </c>
      <c r="D50" s="101"/>
      <c r="E50" s="269">
        <v>1</v>
      </c>
      <c r="F50" s="99" t="s">
        <v>348</v>
      </c>
      <c r="G50" s="99">
        <v>15000</v>
      </c>
      <c r="H50" s="99"/>
      <c r="I50" s="99">
        <v>15000</v>
      </c>
      <c r="J50" s="99" t="s">
        <v>111</v>
      </c>
      <c r="K50" s="100"/>
    </row>
    <row r="51" spans="2:11" s="39" customFormat="1" x14ac:dyDescent="0.2">
      <c r="B51" s="102" t="s">
        <v>81</v>
      </c>
      <c r="C51" s="91" t="s">
        <v>76</v>
      </c>
      <c r="D51" s="101"/>
      <c r="E51" s="269">
        <v>1</v>
      </c>
      <c r="F51" s="99" t="s">
        <v>348</v>
      </c>
      <c r="G51" s="99">
        <v>50000</v>
      </c>
      <c r="H51" s="99"/>
      <c r="I51" s="99">
        <v>50000</v>
      </c>
      <c r="J51" s="99" t="s">
        <v>121</v>
      </c>
      <c r="K51" s="100"/>
    </row>
    <row r="52" spans="2:11" s="39" customFormat="1" x14ac:dyDescent="0.2">
      <c r="B52" s="102" t="s">
        <v>275</v>
      </c>
      <c r="C52" s="91"/>
      <c r="D52" s="101"/>
      <c r="E52" s="269">
        <v>1</v>
      </c>
      <c r="F52" s="99" t="s">
        <v>348</v>
      </c>
      <c r="G52" s="99">
        <v>25000</v>
      </c>
      <c r="H52" s="99"/>
      <c r="I52" s="99">
        <v>25000</v>
      </c>
      <c r="J52" s="99"/>
      <c r="K52" s="100"/>
    </row>
    <row r="53" spans="2:11" s="39" customFormat="1" x14ac:dyDescent="0.2">
      <c r="B53" s="102" t="s">
        <v>82</v>
      </c>
      <c r="C53" s="91" t="s">
        <v>76</v>
      </c>
      <c r="D53" s="101"/>
      <c r="E53" s="269">
        <v>1</v>
      </c>
      <c r="F53" s="99" t="s">
        <v>348</v>
      </c>
      <c r="G53" s="99">
        <v>25000</v>
      </c>
      <c r="H53" s="99"/>
      <c r="I53" s="99">
        <v>25000</v>
      </c>
      <c r="J53" s="99" t="s">
        <v>212</v>
      </c>
      <c r="K53" s="100"/>
    </row>
    <row r="54" spans="2:11" s="39" customFormat="1" x14ac:dyDescent="0.2">
      <c r="B54" s="136" t="s">
        <v>184</v>
      </c>
      <c r="C54" s="104"/>
      <c r="D54" s="105"/>
      <c r="E54" s="94"/>
      <c r="F54" s="94"/>
      <c r="G54" s="94"/>
      <c r="H54" s="94"/>
      <c r="I54" s="94">
        <f>SUM(I36:I53)</f>
        <v>1352000</v>
      </c>
      <c r="J54" s="94"/>
      <c r="K54" s="28"/>
    </row>
    <row r="55" spans="2:11" s="39" customFormat="1" x14ac:dyDescent="0.2">
      <c r="B55" s="138" t="s">
        <v>201</v>
      </c>
      <c r="C55" s="106"/>
      <c r="D55" s="107"/>
      <c r="E55" s="99"/>
      <c r="F55" s="99"/>
      <c r="G55" s="99"/>
      <c r="H55" s="99"/>
      <c r="I55" s="99"/>
      <c r="J55" s="99"/>
      <c r="K55" s="100"/>
    </row>
    <row r="56" spans="2:11" s="39" customFormat="1" x14ac:dyDescent="0.2">
      <c r="B56" s="102" t="s">
        <v>144</v>
      </c>
      <c r="C56" s="91"/>
      <c r="D56" s="101"/>
      <c r="E56" s="269">
        <v>1</v>
      </c>
      <c r="F56" s="99" t="s">
        <v>348</v>
      </c>
      <c r="G56" s="99">
        <v>500000</v>
      </c>
      <c r="H56" s="99"/>
      <c r="I56" s="99">
        <v>500000</v>
      </c>
      <c r="J56" s="99" t="s">
        <v>122</v>
      </c>
      <c r="K56" s="100"/>
    </row>
    <row r="57" spans="2:11" s="39" customFormat="1" x14ac:dyDescent="0.2">
      <c r="B57" s="102" t="s">
        <v>116</v>
      </c>
      <c r="C57" s="91"/>
      <c r="D57" s="101"/>
      <c r="E57" s="269">
        <v>1</v>
      </c>
      <c r="F57" s="99" t="s">
        <v>348</v>
      </c>
      <c r="G57" s="99">
        <v>5000</v>
      </c>
      <c r="H57" s="99"/>
      <c r="I57" s="99">
        <v>5000</v>
      </c>
      <c r="J57" s="99"/>
      <c r="K57" s="100"/>
    </row>
    <row r="58" spans="2:11" s="39" customFormat="1" x14ac:dyDescent="0.2">
      <c r="B58" s="102" t="s">
        <v>183</v>
      </c>
      <c r="C58" s="91"/>
      <c r="D58" s="101"/>
      <c r="E58" s="269">
        <v>1</v>
      </c>
      <c r="F58" s="99" t="s">
        <v>348</v>
      </c>
      <c r="G58" s="99">
        <v>100000</v>
      </c>
      <c r="H58" s="99"/>
      <c r="I58" s="99">
        <v>100000</v>
      </c>
      <c r="J58" s="99" t="s">
        <v>123</v>
      </c>
      <c r="K58" s="100"/>
    </row>
    <row r="59" spans="2:11" x14ac:dyDescent="0.2">
      <c r="B59" s="102" t="s">
        <v>181</v>
      </c>
      <c r="C59" s="91"/>
      <c r="D59" s="102" t="s">
        <v>228</v>
      </c>
      <c r="E59" s="269">
        <v>1</v>
      </c>
      <c r="F59" s="99" t="s">
        <v>348</v>
      </c>
      <c r="G59" s="85">
        <v>100000</v>
      </c>
      <c r="H59" s="247"/>
      <c r="I59" s="85">
        <v>100000</v>
      </c>
      <c r="J59" s="85" t="s">
        <v>122</v>
      </c>
      <c r="K59" s="108"/>
    </row>
    <row r="60" spans="2:11" x14ac:dyDescent="0.2">
      <c r="B60" s="135" t="s">
        <v>83</v>
      </c>
      <c r="C60" s="109"/>
      <c r="D60" s="102" t="s">
        <v>326</v>
      </c>
      <c r="E60" s="111">
        <v>3.8000000000000002E-4</v>
      </c>
      <c r="F60" s="205"/>
      <c r="G60" s="162" t="s">
        <v>328</v>
      </c>
      <c r="H60" s="162">
        <v>2700000000</v>
      </c>
      <c r="I60" s="112">
        <f>E60*H60</f>
        <v>1026000</v>
      </c>
      <c r="J60" s="113" t="s">
        <v>90</v>
      </c>
      <c r="K60" s="114"/>
    </row>
    <row r="61" spans="2:11" x14ac:dyDescent="0.2">
      <c r="B61" s="139" t="s">
        <v>184</v>
      </c>
      <c r="C61" s="115"/>
      <c r="D61" s="167"/>
      <c r="E61" s="117"/>
      <c r="F61" s="117"/>
      <c r="G61" s="117"/>
      <c r="H61" s="117"/>
      <c r="I61" s="117">
        <f>SUM(I56:I60)</f>
        <v>1731000</v>
      </c>
      <c r="J61" s="117"/>
      <c r="K61" s="114"/>
    </row>
    <row r="62" spans="2:11" x14ac:dyDescent="0.2">
      <c r="B62" s="138" t="s">
        <v>347</v>
      </c>
      <c r="C62" s="115"/>
      <c r="D62" s="115"/>
      <c r="E62" s="132"/>
      <c r="F62" s="132"/>
      <c r="G62" s="132"/>
      <c r="H62" s="133"/>
      <c r="I62" s="117">
        <f>+'Corporate Support'!G17*0.2395</f>
        <v>509453.6225</v>
      </c>
      <c r="J62" s="133"/>
      <c r="K62" s="114"/>
    </row>
    <row r="63" spans="2:11" x14ac:dyDescent="0.2">
      <c r="B63" s="307" t="s">
        <v>34</v>
      </c>
      <c r="C63" s="308"/>
      <c r="D63" s="308"/>
      <c r="E63" s="308"/>
      <c r="F63" s="308"/>
      <c r="G63" s="308"/>
      <c r="H63" s="309"/>
      <c r="I63" s="97">
        <f>+I61+I54+I34+I21+I62</f>
        <v>5583863.6224999996</v>
      </c>
      <c r="J63" s="118"/>
      <c r="K63" s="2"/>
    </row>
    <row r="64" spans="2:11" x14ac:dyDescent="0.2">
      <c r="B64" s="307" t="s">
        <v>374</v>
      </c>
      <c r="C64" s="308"/>
      <c r="D64" s="308"/>
      <c r="E64" s="308"/>
      <c r="F64" s="308"/>
      <c r="G64" s="308"/>
      <c r="H64" s="309"/>
      <c r="I64" s="97">
        <f>+(I63-I62)*0.15</f>
        <v>761161.5</v>
      </c>
      <c r="J64" s="118"/>
      <c r="K64" s="119"/>
    </row>
    <row r="65" spans="2:11" x14ac:dyDescent="0.2">
      <c r="B65" s="304" t="s">
        <v>329</v>
      </c>
      <c r="C65" s="305"/>
      <c r="D65" s="305"/>
      <c r="E65" s="305"/>
      <c r="F65" s="305"/>
      <c r="G65" s="305"/>
      <c r="H65" s="306"/>
      <c r="I65" s="120">
        <f>I63+I64</f>
        <v>6345025.1224999996</v>
      </c>
      <c r="J65" s="120"/>
      <c r="K65" s="2"/>
    </row>
    <row r="66" spans="2:11" ht="7.5" customHeight="1" x14ac:dyDescent="0.2">
      <c r="J66" s="121"/>
      <c r="K66" s="2"/>
    </row>
    <row r="67" spans="2:11" x14ac:dyDescent="0.2">
      <c r="B67" s="303" t="s">
        <v>3</v>
      </c>
      <c r="C67" s="303"/>
      <c r="D67" s="303"/>
      <c r="J67" s="2"/>
      <c r="K67" s="2"/>
    </row>
    <row r="68" spans="2:11" x14ac:dyDescent="0.2">
      <c r="B68" s="56" t="s">
        <v>194</v>
      </c>
      <c r="J68" s="2"/>
      <c r="K68" s="2"/>
    </row>
    <row r="69" spans="2:11" x14ac:dyDescent="0.2">
      <c r="B69" s="56" t="s">
        <v>158</v>
      </c>
      <c r="I69" s="292">
        <f>(I62+I21)/I63</f>
        <v>0.4233025342839129</v>
      </c>
      <c r="J69" s="2"/>
      <c r="K69" s="2"/>
    </row>
    <row r="70" spans="2:11" x14ac:dyDescent="0.2">
      <c r="B70" s="56" t="s">
        <v>159</v>
      </c>
      <c r="J70" s="2"/>
      <c r="K70" s="2"/>
    </row>
    <row r="71" spans="2:11" x14ac:dyDescent="0.2">
      <c r="B71" s="56" t="s">
        <v>160</v>
      </c>
      <c r="J71" s="2"/>
      <c r="K71" s="2"/>
    </row>
    <row r="72" spans="2:11" x14ac:dyDescent="0.2">
      <c r="B72" s="56" t="s">
        <v>161</v>
      </c>
      <c r="J72" s="2"/>
      <c r="K72" s="2"/>
    </row>
    <row r="73" spans="2:11" x14ac:dyDescent="0.2">
      <c r="B73" s="56" t="s">
        <v>162</v>
      </c>
      <c r="J73" s="2"/>
      <c r="K73" s="2"/>
    </row>
    <row r="74" spans="2:11" x14ac:dyDescent="0.2">
      <c r="B74" s="56" t="s">
        <v>163</v>
      </c>
      <c r="J74" s="2"/>
      <c r="K74" s="2"/>
    </row>
    <row r="75" spans="2:11" x14ac:dyDescent="0.2">
      <c r="B75" s="56" t="s">
        <v>164</v>
      </c>
      <c r="J75" s="2"/>
      <c r="K75" s="2"/>
    </row>
    <row r="76" spans="2:11" x14ac:dyDescent="0.2">
      <c r="B76" s="56" t="s">
        <v>165</v>
      </c>
      <c r="J76" s="2"/>
      <c r="K76" s="2"/>
    </row>
    <row r="77" spans="2:11" x14ac:dyDescent="0.2">
      <c r="B77" s="56" t="s">
        <v>198</v>
      </c>
      <c r="J77" s="2"/>
      <c r="K77" s="2"/>
    </row>
    <row r="78" spans="2:11" x14ac:dyDescent="0.2">
      <c r="B78" s="56" t="s">
        <v>169</v>
      </c>
      <c r="J78" s="2"/>
      <c r="K78" s="2"/>
    </row>
    <row r="79" spans="2:11" x14ac:dyDescent="0.2">
      <c r="B79" s="56" t="s">
        <v>146</v>
      </c>
      <c r="J79" s="2"/>
      <c r="K79" s="2"/>
    </row>
    <row r="80" spans="2:11" x14ac:dyDescent="0.2">
      <c r="B80" s="56" t="s">
        <v>166</v>
      </c>
      <c r="J80" s="2"/>
      <c r="K80" s="2"/>
    </row>
    <row r="81" spans="2:11" x14ac:dyDescent="0.2">
      <c r="B81" s="56" t="s">
        <v>167</v>
      </c>
      <c r="J81" s="2"/>
      <c r="K81" s="2"/>
    </row>
    <row r="82" spans="2:11" x14ac:dyDescent="0.2">
      <c r="B82" s="56" t="s">
        <v>168</v>
      </c>
      <c r="J82" s="2"/>
      <c r="K82" s="2"/>
    </row>
    <row r="83" spans="2:11" x14ac:dyDescent="0.2">
      <c r="B83" s="56" t="s">
        <v>147</v>
      </c>
      <c r="J83" s="2"/>
      <c r="K83" s="2"/>
    </row>
    <row r="84" spans="2:11" x14ac:dyDescent="0.2">
      <c r="B84" s="56" t="s">
        <v>209</v>
      </c>
      <c r="J84" s="2"/>
      <c r="K84" s="2"/>
    </row>
    <row r="85" spans="2:11" x14ac:dyDescent="0.2">
      <c r="B85" s="56" t="s">
        <v>210</v>
      </c>
      <c r="J85" s="2"/>
      <c r="K85" s="2"/>
    </row>
    <row r="86" spans="2:11" x14ac:dyDescent="0.2">
      <c r="B86" s="56" t="s">
        <v>211</v>
      </c>
      <c r="J86" s="2"/>
      <c r="K86" s="2"/>
    </row>
    <row r="87" spans="2:11" x14ac:dyDescent="0.2">
      <c r="B87" s="56" t="s">
        <v>208</v>
      </c>
      <c r="J87" s="2"/>
      <c r="K87" s="2"/>
    </row>
    <row r="88" spans="2:11" x14ac:dyDescent="0.2">
      <c r="B88" s="56" t="s">
        <v>192</v>
      </c>
      <c r="J88" s="2"/>
    </row>
    <row r="89" spans="2:11" x14ac:dyDescent="0.2">
      <c r="B89" s="56" t="s">
        <v>193</v>
      </c>
      <c r="J89" s="2"/>
    </row>
    <row r="90" spans="2:11" x14ac:dyDescent="0.2">
      <c r="B90" s="56" t="s">
        <v>214</v>
      </c>
      <c r="J90" s="2"/>
    </row>
    <row r="91" spans="2:11" x14ac:dyDescent="0.2">
      <c r="B91" s="56" t="s">
        <v>182</v>
      </c>
      <c r="J91" s="2"/>
    </row>
    <row r="92" spans="2:11" x14ac:dyDescent="0.2">
      <c r="B92" s="56" t="s">
        <v>213</v>
      </c>
      <c r="J92" s="2"/>
    </row>
    <row r="93" spans="2:11" x14ac:dyDescent="0.2">
      <c r="B93" s="56" t="s">
        <v>170</v>
      </c>
      <c r="J93" s="2"/>
    </row>
    <row r="94" spans="2:11" x14ac:dyDescent="0.2">
      <c r="B94" s="56" t="s">
        <v>227</v>
      </c>
      <c r="J94" s="2"/>
    </row>
    <row r="95" spans="2:11" x14ac:dyDescent="0.2">
      <c r="B95" s="123"/>
      <c r="C95" s="123"/>
      <c r="D95" s="123"/>
      <c r="E95" s="123"/>
      <c r="F95" s="123"/>
      <c r="G95" s="123"/>
      <c r="H95" s="123"/>
      <c r="I95" s="123"/>
      <c r="J95" s="125"/>
    </row>
    <row r="96" spans="2:11" x14ac:dyDescent="0.2">
      <c r="B96" s="123"/>
      <c r="C96" s="123"/>
      <c r="D96" s="123"/>
      <c r="E96" s="123"/>
      <c r="F96" s="123"/>
      <c r="G96" s="123"/>
      <c r="H96" s="123"/>
      <c r="I96" s="123"/>
      <c r="J96" s="125"/>
    </row>
    <row r="97" spans="1:10" x14ac:dyDescent="0.2">
      <c r="A97" s="126"/>
      <c r="B97" s="126"/>
      <c r="C97" s="126"/>
      <c r="D97" s="126"/>
      <c r="E97" s="126"/>
      <c r="F97" s="126"/>
      <c r="G97" s="126"/>
      <c r="H97" s="123"/>
      <c r="I97" s="123"/>
      <c r="J97" s="125"/>
    </row>
    <row r="98" spans="1:10" x14ac:dyDescent="0.2">
      <c r="A98" s="126"/>
      <c r="B98" s="126" t="s">
        <v>190</v>
      </c>
      <c r="C98" s="126"/>
      <c r="D98" s="128">
        <f>+I21</f>
        <v>1854210</v>
      </c>
      <c r="E98" s="126"/>
      <c r="F98" s="126"/>
      <c r="G98" s="126"/>
      <c r="H98" s="123"/>
      <c r="I98" s="123"/>
      <c r="J98" s="125"/>
    </row>
    <row r="99" spans="1:10" x14ac:dyDescent="0.2">
      <c r="A99" s="126"/>
      <c r="B99" s="126" t="s">
        <v>217</v>
      </c>
      <c r="C99" s="126"/>
      <c r="D99" s="128">
        <f>+I34</f>
        <v>137200</v>
      </c>
      <c r="E99" s="126"/>
      <c r="F99" s="126"/>
      <c r="G99" s="126"/>
      <c r="H99" s="123"/>
      <c r="I99" s="123"/>
      <c r="J99" s="125"/>
    </row>
    <row r="100" spans="1:10" x14ac:dyDescent="0.2">
      <c r="A100" s="126"/>
      <c r="B100" s="126" t="s">
        <v>186</v>
      </c>
      <c r="C100" s="126"/>
      <c r="D100" s="128">
        <f>+I54</f>
        <v>1352000</v>
      </c>
      <c r="E100" s="126"/>
      <c r="F100" s="126"/>
      <c r="G100" s="126"/>
      <c r="H100" s="123"/>
      <c r="I100" s="123"/>
      <c r="J100" s="125"/>
    </row>
    <row r="101" spans="1:10" x14ac:dyDescent="0.2">
      <c r="A101" s="126"/>
      <c r="B101" s="174" t="s">
        <v>301</v>
      </c>
      <c r="C101" s="126"/>
      <c r="D101" s="128">
        <f>+I61</f>
        <v>1731000</v>
      </c>
      <c r="E101" s="126"/>
      <c r="F101" s="126"/>
      <c r="G101" s="126"/>
      <c r="H101" s="123"/>
      <c r="I101" s="123"/>
      <c r="J101" s="125"/>
    </row>
    <row r="102" spans="1:10" x14ac:dyDescent="0.2">
      <c r="A102" s="126"/>
      <c r="B102" s="174" t="s">
        <v>371</v>
      </c>
      <c r="C102" s="126"/>
      <c r="D102" s="128">
        <f>+I62</f>
        <v>509453.6225</v>
      </c>
      <c r="E102" s="126"/>
      <c r="F102" s="126"/>
      <c r="G102" s="126"/>
      <c r="H102" s="123"/>
      <c r="I102" s="123"/>
      <c r="J102" s="125"/>
    </row>
    <row r="103" spans="1:10" x14ac:dyDescent="0.2">
      <c r="A103" s="126"/>
      <c r="B103" s="126" t="s">
        <v>296</v>
      </c>
      <c r="C103" s="126"/>
      <c r="D103" s="128">
        <f>+I64</f>
        <v>761161.5</v>
      </c>
      <c r="E103" s="126"/>
      <c r="F103" s="126"/>
      <c r="G103" s="126"/>
      <c r="H103" s="123"/>
      <c r="I103" s="123"/>
      <c r="J103" s="125"/>
    </row>
    <row r="104" spans="1:10" x14ac:dyDescent="0.2">
      <c r="A104" s="126"/>
      <c r="B104" s="126"/>
      <c r="C104" s="126"/>
      <c r="D104" s="126"/>
      <c r="E104" s="126"/>
      <c r="F104" s="126"/>
      <c r="G104" s="126"/>
      <c r="H104" s="123"/>
      <c r="I104" s="123"/>
      <c r="J104" s="125"/>
    </row>
    <row r="105" spans="1:10" x14ac:dyDescent="0.2">
      <c r="A105" s="126"/>
      <c r="B105" s="126"/>
      <c r="C105" s="126"/>
      <c r="D105" s="126"/>
      <c r="E105" s="126"/>
      <c r="F105" s="126"/>
      <c r="G105" s="126"/>
      <c r="H105" s="123"/>
      <c r="I105" s="123"/>
      <c r="J105" s="125"/>
    </row>
    <row r="106" spans="1:10" x14ac:dyDescent="0.2">
      <c r="B106" s="123"/>
      <c r="C106" s="123"/>
      <c r="D106" s="123"/>
      <c r="E106" s="123"/>
      <c r="F106" s="123"/>
      <c r="G106" s="123"/>
      <c r="H106" s="123"/>
      <c r="I106" s="123"/>
      <c r="J106" s="125"/>
    </row>
    <row r="107" spans="1:10" x14ac:dyDescent="0.2">
      <c r="B107" s="123"/>
      <c r="C107" s="123"/>
      <c r="D107" s="123"/>
      <c r="E107" s="123"/>
      <c r="F107" s="123"/>
      <c r="G107" s="123"/>
      <c r="H107" s="123"/>
      <c r="I107" s="123"/>
      <c r="J107" s="125"/>
    </row>
    <row r="108" spans="1:10" x14ac:dyDescent="0.2">
      <c r="B108" s="123"/>
      <c r="C108" s="123"/>
      <c r="D108" s="123"/>
      <c r="E108" s="123"/>
      <c r="F108" s="123"/>
      <c r="G108" s="123"/>
      <c r="H108" s="123"/>
      <c r="I108" s="123"/>
      <c r="J108" s="125"/>
    </row>
    <row r="109" spans="1:10" x14ac:dyDescent="0.2">
      <c r="B109" s="123"/>
      <c r="C109" s="123"/>
      <c r="D109" s="123"/>
      <c r="E109" s="123"/>
      <c r="F109" s="123"/>
      <c r="G109" s="123"/>
      <c r="H109" s="123"/>
      <c r="I109" s="123"/>
      <c r="J109" s="125"/>
    </row>
    <row r="110" spans="1:10" x14ac:dyDescent="0.2">
      <c r="B110" s="123"/>
      <c r="C110" s="123"/>
      <c r="D110" s="123"/>
      <c r="E110" s="123"/>
      <c r="F110" s="123"/>
      <c r="G110" s="123"/>
      <c r="H110" s="123"/>
      <c r="I110" s="123"/>
      <c r="J110" s="125"/>
    </row>
    <row r="111" spans="1:10" x14ac:dyDescent="0.2">
      <c r="B111" s="123"/>
      <c r="C111" s="123"/>
      <c r="D111" s="123"/>
      <c r="E111" s="123"/>
      <c r="F111" s="123"/>
      <c r="G111" s="123"/>
      <c r="H111" s="123"/>
      <c r="I111" s="123"/>
      <c r="J111" s="125"/>
    </row>
    <row r="112" spans="1:10" x14ac:dyDescent="0.2">
      <c r="B112" s="123"/>
      <c r="C112" s="123"/>
      <c r="D112" s="123"/>
      <c r="E112" s="123"/>
      <c r="F112" s="123"/>
      <c r="G112" s="123"/>
      <c r="H112" s="123"/>
      <c r="I112" s="123"/>
      <c r="J112" s="125"/>
    </row>
    <row r="113" spans="2:10" x14ac:dyDescent="0.2">
      <c r="B113" s="123"/>
      <c r="C113" s="123"/>
      <c r="D113" s="123"/>
      <c r="E113" s="123"/>
      <c r="F113" s="123"/>
      <c r="G113" s="123"/>
      <c r="H113" s="123"/>
      <c r="I113" s="123"/>
      <c r="J113" s="125"/>
    </row>
    <row r="114" spans="2:10" x14ac:dyDescent="0.2">
      <c r="B114" s="123"/>
      <c r="C114" s="123"/>
      <c r="D114" s="123"/>
      <c r="E114" s="123"/>
      <c r="F114" s="123"/>
      <c r="G114" s="123"/>
      <c r="H114" s="123"/>
      <c r="I114" s="123"/>
      <c r="J114" s="125"/>
    </row>
    <row r="115" spans="2:10" x14ac:dyDescent="0.2">
      <c r="B115" s="123"/>
      <c r="C115" s="123"/>
      <c r="D115" s="123"/>
      <c r="E115" s="123"/>
      <c r="F115" s="123"/>
      <c r="G115" s="123"/>
      <c r="H115" s="123"/>
      <c r="I115" s="123"/>
      <c r="J115" s="125"/>
    </row>
    <row r="116" spans="2:10" x14ac:dyDescent="0.2">
      <c r="B116" s="123"/>
      <c r="C116" s="123"/>
      <c r="D116" s="123"/>
      <c r="E116" s="123"/>
      <c r="F116" s="123"/>
      <c r="G116" s="123"/>
      <c r="H116" s="123"/>
      <c r="I116" s="123"/>
      <c r="J116" s="125"/>
    </row>
    <row r="117" spans="2:10" x14ac:dyDescent="0.2">
      <c r="B117" s="123"/>
      <c r="C117" s="123"/>
      <c r="D117" s="123"/>
      <c r="E117" s="123"/>
      <c r="F117" s="123"/>
      <c r="G117" s="123"/>
      <c r="H117" s="123"/>
      <c r="I117" s="123"/>
      <c r="J117" s="125"/>
    </row>
    <row r="118" spans="2:10" x14ac:dyDescent="0.2">
      <c r="B118" s="123"/>
      <c r="C118" s="123"/>
      <c r="D118" s="123"/>
      <c r="E118" s="123"/>
      <c r="F118" s="123"/>
      <c r="G118" s="123"/>
      <c r="H118" s="123"/>
      <c r="I118" s="123"/>
      <c r="J118" s="125"/>
    </row>
    <row r="119" spans="2:10" x14ac:dyDescent="0.2">
      <c r="B119" s="123"/>
      <c r="C119" s="123"/>
      <c r="D119" s="123"/>
      <c r="E119" s="123"/>
      <c r="F119" s="123"/>
      <c r="G119" s="123"/>
      <c r="H119" s="123"/>
      <c r="I119" s="123"/>
      <c r="J119" s="125"/>
    </row>
    <row r="120" spans="2:10" x14ac:dyDescent="0.2">
      <c r="J120" s="2"/>
    </row>
    <row r="121" spans="2:10" x14ac:dyDescent="0.2">
      <c r="J121" s="2"/>
    </row>
    <row r="122" spans="2:10" x14ac:dyDescent="0.2">
      <c r="J122" s="2"/>
    </row>
    <row r="123" spans="2:10" x14ac:dyDescent="0.2">
      <c r="J123" s="2"/>
    </row>
    <row r="124" spans="2:10" x14ac:dyDescent="0.2">
      <c r="J124" s="2"/>
    </row>
    <row r="125" spans="2:10" x14ac:dyDescent="0.2">
      <c r="J125" s="2"/>
    </row>
    <row r="126" spans="2:10" x14ac:dyDescent="0.2">
      <c r="J126" s="2"/>
    </row>
    <row r="127" spans="2:10" x14ac:dyDescent="0.2">
      <c r="J127" s="2"/>
    </row>
    <row r="128" spans="2:10" x14ac:dyDescent="0.2">
      <c r="J128" s="2"/>
    </row>
    <row r="129" spans="10:10" x14ac:dyDescent="0.2">
      <c r="J129" s="2"/>
    </row>
    <row r="130" spans="10:10" x14ac:dyDescent="0.2">
      <c r="J130" s="2"/>
    </row>
    <row r="131" spans="10:10" x14ac:dyDescent="0.2">
      <c r="J131" s="2"/>
    </row>
    <row r="132" spans="10:10" x14ac:dyDescent="0.2">
      <c r="J132" s="2"/>
    </row>
    <row r="133" spans="10:10" x14ac:dyDescent="0.2">
      <c r="J133" s="2"/>
    </row>
    <row r="134" spans="10:10" x14ac:dyDescent="0.2">
      <c r="J134" s="2"/>
    </row>
    <row r="135" spans="10:10" x14ac:dyDescent="0.2">
      <c r="J135" s="2"/>
    </row>
    <row r="136" spans="10:10" x14ac:dyDescent="0.2">
      <c r="J136" s="2"/>
    </row>
    <row r="137" spans="10:10" x14ac:dyDescent="0.2">
      <c r="J137" s="2"/>
    </row>
    <row r="138" spans="10:10" x14ac:dyDescent="0.2">
      <c r="J138" s="2"/>
    </row>
    <row r="139" spans="10:10" x14ac:dyDescent="0.2">
      <c r="J139" s="2"/>
    </row>
    <row r="140" spans="10:10" x14ac:dyDescent="0.2">
      <c r="J140" s="2"/>
    </row>
    <row r="141" spans="10:10" x14ac:dyDescent="0.2">
      <c r="J141" s="2"/>
    </row>
    <row r="142" spans="10:10" x14ac:dyDescent="0.2">
      <c r="J142" s="2"/>
    </row>
    <row r="143" spans="10:10" x14ac:dyDescent="0.2">
      <c r="J143" s="2"/>
    </row>
    <row r="144" spans="10:10" x14ac:dyDescent="0.2">
      <c r="J144" s="2"/>
    </row>
    <row r="145" spans="10:10" x14ac:dyDescent="0.2">
      <c r="J145" s="2"/>
    </row>
    <row r="146" spans="10:10" x14ac:dyDescent="0.2">
      <c r="J146" s="2"/>
    </row>
    <row r="147" spans="10:10" x14ac:dyDescent="0.2">
      <c r="J147" s="2"/>
    </row>
    <row r="148" spans="10:10" x14ac:dyDescent="0.2">
      <c r="J148" s="2"/>
    </row>
    <row r="149" spans="10:10" x14ac:dyDescent="0.2">
      <c r="J149" s="2"/>
    </row>
    <row r="150" spans="10:10" x14ac:dyDescent="0.2">
      <c r="J150" s="2"/>
    </row>
    <row r="151" spans="10:10" x14ac:dyDescent="0.2">
      <c r="J151" s="2"/>
    </row>
    <row r="152" spans="10:10" x14ac:dyDescent="0.2">
      <c r="J152" s="2"/>
    </row>
    <row r="153" spans="10:10" x14ac:dyDescent="0.2">
      <c r="J153" s="2"/>
    </row>
    <row r="154" spans="10:10" x14ac:dyDescent="0.2">
      <c r="J154" s="2"/>
    </row>
    <row r="155" spans="10:10" x14ac:dyDescent="0.2">
      <c r="J155" s="2"/>
    </row>
    <row r="156" spans="10:10" x14ac:dyDescent="0.2">
      <c r="J156" s="2"/>
    </row>
    <row r="157" spans="10:10" x14ac:dyDescent="0.2">
      <c r="J157" s="2"/>
    </row>
    <row r="158" spans="10:10" x14ac:dyDescent="0.2">
      <c r="J158" s="2"/>
    </row>
    <row r="159" spans="10:10" x14ac:dyDescent="0.2">
      <c r="J159" s="2"/>
    </row>
    <row r="160" spans="10:10" x14ac:dyDescent="0.2">
      <c r="J160" s="2"/>
    </row>
    <row r="161" spans="10:10" x14ac:dyDescent="0.2">
      <c r="J161" s="2"/>
    </row>
    <row r="162" spans="10:10" x14ac:dyDescent="0.2">
      <c r="J162" s="2"/>
    </row>
    <row r="163" spans="10:10" x14ac:dyDescent="0.2">
      <c r="J163" s="2"/>
    </row>
    <row r="164" spans="10:10" x14ac:dyDescent="0.2">
      <c r="J164" s="2"/>
    </row>
    <row r="165" spans="10:10" x14ac:dyDescent="0.2">
      <c r="J165" s="2"/>
    </row>
    <row r="166" spans="10:10" x14ac:dyDescent="0.2">
      <c r="J166" s="2"/>
    </row>
    <row r="167" spans="10:10" x14ac:dyDescent="0.2">
      <c r="J167" s="2"/>
    </row>
    <row r="168" spans="10:10" x14ac:dyDescent="0.2">
      <c r="J168" s="2"/>
    </row>
    <row r="169" spans="10:10" x14ac:dyDescent="0.2">
      <c r="J169" s="2"/>
    </row>
    <row r="170" spans="10:10" x14ac:dyDescent="0.2">
      <c r="J170" s="2"/>
    </row>
    <row r="171" spans="10:10" x14ac:dyDescent="0.2">
      <c r="J171" s="2"/>
    </row>
    <row r="172" spans="10:10" x14ac:dyDescent="0.2">
      <c r="J172" s="2"/>
    </row>
    <row r="173" spans="10:10" x14ac:dyDescent="0.2">
      <c r="J173" s="2"/>
    </row>
    <row r="174" spans="10:10" x14ac:dyDescent="0.2">
      <c r="J174" s="2"/>
    </row>
    <row r="175" spans="10:10" x14ac:dyDescent="0.2">
      <c r="J175" s="2"/>
    </row>
    <row r="176" spans="10:10" x14ac:dyDescent="0.2">
      <c r="J176" s="2"/>
    </row>
    <row r="177" spans="10:10" x14ac:dyDescent="0.2">
      <c r="J177" s="2"/>
    </row>
    <row r="178" spans="10:10" x14ac:dyDescent="0.2">
      <c r="J178" s="2"/>
    </row>
    <row r="179" spans="10:10" x14ac:dyDescent="0.2">
      <c r="J179" s="2"/>
    </row>
    <row r="180" spans="10:10" x14ac:dyDescent="0.2">
      <c r="J180" s="2"/>
    </row>
    <row r="181" spans="10:10" x14ac:dyDescent="0.2">
      <c r="J181" s="2"/>
    </row>
    <row r="182" spans="10:10" x14ac:dyDescent="0.2">
      <c r="J182" s="2"/>
    </row>
    <row r="183" spans="10:10" x14ac:dyDescent="0.2">
      <c r="J183" s="2"/>
    </row>
    <row r="184" spans="10:10" x14ac:dyDescent="0.2">
      <c r="J184" s="2"/>
    </row>
    <row r="185" spans="10:10" x14ac:dyDescent="0.2">
      <c r="J185" s="2"/>
    </row>
    <row r="186" spans="10:10" x14ac:dyDescent="0.2">
      <c r="J186" s="2"/>
    </row>
    <row r="187" spans="10:10" x14ac:dyDescent="0.2">
      <c r="J187" s="2"/>
    </row>
    <row r="188" spans="10:10" x14ac:dyDescent="0.2">
      <c r="J188" s="2"/>
    </row>
    <row r="189" spans="10:10" x14ac:dyDescent="0.2">
      <c r="J189" s="2"/>
    </row>
    <row r="190" spans="10:10" x14ac:dyDescent="0.2">
      <c r="J190" s="2"/>
    </row>
    <row r="191" spans="10:10" x14ac:dyDescent="0.2">
      <c r="J191" s="2"/>
    </row>
    <row r="192" spans="10:10" x14ac:dyDescent="0.2">
      <c r="J192" s="2"/>
    </row>
    <row r="193" spans="10:10" x14ac:dyDescent="0.2">
      <c r="J193" s="2"/>
    </row>
    <row r="194" spans="10:10" x14ac:dyDescent="0.2">
      <c r="J194" s="2"/>
    </row>
    <row r="195" spans="10:10" x14ac:dyDescent="0.2">
      <c r="J195" s="2"/>
    </row>
    <row r="196" spans="10:10" x14ac:dyDescent="0.2">
      <c r="J196" s="2"/>
    </row>
    <row r="197" spans="10:10" x14ac:dyDescent="0.2">
      <c r="J197" s="2"/>
    </row>
    <row r="198" spans="10:10" x14ac:dyDescent="0.2">
      <c r="J198" s="2"/>
    </row>
    <row r="199" spans="10:10" x14ac:dyDescent="0.2">
      <c r="J199" s="2"/>
    </row>
    <row r="200" spans="10:10" x14ac:dyDescent="0.2">
      <c r="J200" s="2"/>
    </row>
    <row r="201" spans="10:10" x14ac:dyDescent="0.2">
      <c r="J201" s="2"/>
    </row>
    <row r="202" spans="10:10" x14ac:dyDescent="0.2">
      <c r="J202" s="2"/>
    </row>
    <row r="203" spans="10:10" x14ac:dyDescent="0.2">
      <c r="J203" s="2"/>
    </row>
    <row r="204" spans="10:10" x14ac:dyDescent="0.2">
      <c r="J204" s="2"/>
    </row>
    <row r="205" spans="10:10" x14ac:dyDescent="0.2">
      <c r="J205" s="2"/>
    </row>
    <row r="206" spans="10:10" x14ac:dyDescent="0.2">
      <c r="J206" s="2"/>
    </row>
    <row r="207" spans="10:10" x14ac:dyDescent="0.2">
      <c r="J207" s="2"/>
    </row>
    <row r="208" spans="10:10" x14ac:dyDescent="0.2">
      <c r="J208" s="2"/>
    </row>
    <row r="209" spans="10:10" x14ac:dyDescent="0.2">
      <c r="J209" s="2"/>
    </row>
    <row r="210" spans="10:10" x14ac:dyDescent="0.2">
      <c r="J210" s="2"/>
    </row>
    <row r="211" spans="10:10" x14ac:dyDescent="0.2">
      <c r="J211" s="2"/>
    </row>
    <row r="212" spans="10:10" x14ac:dyDescent="0.2">
      <c r="J212" s="2"/>
    </row>
    <row r="213" spans="10:10" x14ac:dyDescent="0.2">
      <c r="J213" s="2"/>
    </row>
    <row r="214" spans="10:10" x14ac:dyDescent="0.2">
      <c r="J214" s="2"/>
    </row>
    <row r="215" spans="10:10" x14ac:dyDescent="0.2">
      <c r="J215" s="2"/>
    </row>
    <row r="216" spans="10:10" x14ac:dyDescent="0.2">
      <c r="J216" s="2"/>
    </row>
    <row r="217" spans="10:10" x14ac:dyDescent="0.2">
      <c r="J217" s="2"/>
    </row>
    <row r="218" spans="10:10" x14ac:dyDescent="0.2">
      <c r="J218" s="2"/>
    </row>
    <row r="219" spans="10:10" x14ac:dyDescent="0.2">
      <c r="J219" s="2"/>
    </row>
    <row r="220" spans="10:10" x14ac:dyDescent="0.2">
      <c r="J220" s="2"/>
    </row>
    <row r="221" spans="10:10" x14ac:dyDescent="0.2">
      <c r="J221" s="2"/>
    </row>
    <row r="222" spans="10:10" x14ac:dyDescent="0.2">
      <c r="J222" s="2"/>
    </row>
    <row r="223" spans="10:10" x14ac:dyDescent="0.2">
      <c r="J223" s="2"/>
    </row>
    <row r="224" spans="10:10" x14ac:dyDescent="0.2">
      <c r="J224" s="2"/>
    </row>
    <row r="225" spans="10:10" x14ac:dyDescent="0.2">
      <c r="J225" s="2"/>
    </row>
    <row r="226" spans="10:10" x14ac:dyDescent="0.2">
      <c r="J226" s="2"/>
    </row>
    <row r="227" spans="10:10" x14ac:dyDescent="0.2">
      <c r="J227" s="2"/>
    </row>
    <row r="228" spans="10:10" x14ac:dyDescent="0.2">
      <c r="J228" s="2"/>
    </row>
    <row r="229" spans="10:10" x14ac:dyDescent="0.2">
      <c r="J229" s="2"/>
    </row>
    <row r="230" spans="10:10" x14ac:dyDescent="0.2">
      <c r="J230" s="2"/>
    </row>
  </sheetData>
  <mergeCells count="4">
    <mergeCell ref="B67:D67"/>
    <mergeCell ref="B65:H65"/>
    <mergeCell ref="B63:H63"/>
    <mergeCell ref="B64:H64"/>
  </mergeCells>
  <hyperlinks>
    <hyperlink ref="D2" location="Summary!A1" display="Return to Summary Sheet"/>
    <hyperlink ref="B62" location="Corporate!A1" display="Corporate &amp; Energy Control Center Allocated Costs"/>
  </hyperlinks>
  <printOptions horizontalCentered="1" verticalCentered="1"/>
  <pageMargins left="0.2" right="0.2" top="0.5" bottom="0.5" header="0" footer="0"/>
  <pageSetup paperSize="17"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69"/>
  <sheetViews>
    <sheetView showGridLines="0" zoomScale="85" zoomScaleNormal="85" workbookViewId="0">
      <selection activeCell="I53" sqref="I53"/>
    </sheetView>
  </sheetViews>
  <sheetFormatPr defaultColWidth="9.140625" defaultRowHeight="12.75" x14ac:dyDescent="0.2"/>
  <cols>
    <col min="1" max="1" width="4.7109375" style="1" customWidth="1"/>
    <col min="2" max="2" width="64.28515625" style="1" customWidth="1"/>
    <col min="3" max="3" width="41.42578125" style="1" bestFit="1" customWidth="1"/>
    <col min="4" max="4" width="8.28515625" style="1" hidden="1" customWidth="1"/>
    <col min="5" max="5" width="8.28515625" style="1" bestFit="1" customWidth="1"/>
    <col min="6" max="6" width="13.42578125" style="1" customWidth="1"/>
    <col min="7" max="7" width="13.140625" style="1" bestFit="1" customWidth="1"/>
    <col min="8" max="8" width="12.85546875" style="1" customWidth="1"/>
    <col min="9" max="9" width="11" style="1" bestFit="1" customWidth="1"/>
    <col min="10" max="10" width="7.5703125" style="1" customWidth="1"/>
    <col min="11" max="52" width="13.42578125" style="1" bestFit="1" customWidth="1"/>
    <col min="53" max="16384" width="9.140625" style="1"/>
  </cols>
  <sheetData>
    <row r="1" spans="2:52" s="15" customFormat="1" ht="23.25" x14ac:dyDescent="0.35">
      <c r="B1" s="228" t="s">
        <v>309</v>
      </c>
      <c r="C1" s="61" t="s">
        <v>279</v>
      </c>
      <c r="D1" s="60" t="s">
        <v>279</v>
      </c>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row>
    <row r="2" spans="2:52" ht="3" customHeight="1" x14ac:dyDescent="0.2">
      <c r="B2" s="2"/>
      <c r="C2" s="2"/>
      <c r="D2" s="2"/>
      <c r="E2" s="312"/>
      <c r="F2" s="312"/>
      <c r="G2" s="312"/>
      <c r="H2" s="312"/>
      <c r="I2" s="312"/>
      <c r="J2" s="312"/>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row>
    <row r="3" spans="2:52" ht="24" customHeight="1" x14ac:dyDescent="0.2">
      <c r="B3" s="72" t="s">
        <v>13</v>
      </c>
      <c r="C3" s="72" t="s">
        <v>22</v>
      </c>
      <c r="D3" s="73" t="s">
        <v>24</v>
      </c>
      <c r="E3" s="72" t="s">
        <v>1</v>
      </c>
      <c r="F3" s="72" t="s">
        <v>14</v>
      </c>
      <c r="G3" s="72"/>
      <c r="H3" s="72"/>
      <c r="I3" s="72" t="s">
        <v>2</v>
      </c>
      <c r="J3" s="72" t="s">
        <v>86</v>
      </c>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2" x14ac:dyDescent="0.2">
      <c r="B4" s="165" t="s">
        <v>215</v>
      </c>
      <c r="C4" s="144"/>
      <c r="E4" s="264"/>
      <c r="F4" s="80"/>
      <c r="G4" s="180" t="s">
        <v>221</v>
      </c>
      <c r="H4" s="181" t="s">
        <v>85</v>
      </c>
      <c r="I4" s="80"/>
      <c r="J4" s="153"/>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row>
    <row r="5" spans="2:52" x14ac:dyDescent="0.2">
      <c r="B5" s="135" t="s">
        <v>18</v>
      </c>
      <c r="C5" s="80" t="s">
        <v>21</v>
      </c>
      <c r="D5" s="1" t="s">
        <v>28</v>
      </c>
      <c r="E5" s="265">
        <v>0.1</v>
      </c>
      <c r="F5" s="85" t="s">
        <v>332</v>
      </c>
      <c r="G5" s="85">
        <v>82000</v>
      </c>
      <c r="H5" s="86">
        <v>0.3</v>
      </c>
      <c r="I5" s="85">
        <f>+G5*(1+H5)*E5</f>
        <v>10660</v>
      </c>
      <c r="J5" s="85" t="s">
        <v>340</v>
      </c>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2:52" x14ac:dyDescent="0.2">
      <c r="B6" s="135" t="s">
        <v>19</v>
      </c>
      <c r="C6" s="80" t="s">
        <v>171</v>
      </c>
      <c r="E6" s="265">
        <v>0.1</v>
      </c>
      <c r="F6" s="85" t="s">
        <v>332</v>
      </c>
      <c r="G6" s="85">
        <v>90000</v>
      </c>
      <c r="H6" s="86">
        <v>0.3</v>
      </c>
      <c r="I6" s="85">
        <f>+G6*(1+H6)*E6</f>
        <v>11700</v>
      </c>
      <c r="J6" s="85" t="s">
        <v>340</v>
      </c>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2:52" x14ac:dyDescent="0.2">
      <c r="B7" s="135" t="s">
        <v>20</v>
      </c>
      <c r="C7" s="107" t="s">
        <v>21</v>
      </c>
      <c r="E7" s="265">
        <v>0.2</v>
      </c>
      <c r="F7" s="85" t="s">
        <v>332</v>
      </c>
      <c r="G7" s="85">
        <v>86000</v>
      </c>
      <c r="H7" s="86">
        <v>0.3</v>
      </c>
      <c r="I7" s="85">
        <f t="shared" ref="I7:I10" si="0">+G7*(1+H7)*E7</f>
        <v>22360</v>
      </c>
      <c r="J7" s="85" t="s">
        <v>340</v>
      </c>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2:52" x14ac:dyDescent="0.2">
      <c r="B8" s="135" t="s">
        <v>46</v>
      </c>
      <c r="C8" s="107" t="s">
        <v>47</v>
      </c>
      <c r="E8" s="265">
        <v>0.1</v>
      </c>
      <c r="F8" s="85" t="s">
        <v>332</v>
      </c>
      <c r="G8" s="85">
        <v>94000</v>
      </c>
      <c r="H8" s="86">
        <v>0.3</v>
      </c>
      <c r="I8" s="85">
        <f t="shared" si="0"/>
        <v>12220</v>
      </c>
      <c r="J8" s="85" t="s">
        <v>340</v>
      </c>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2:52" x14ac:dyDescent="0.2">
      <c r="B9" s="135" t="s">
        <v>95</v>
      </c>
      <c r="C9" s="107" t="s">
        <v>21</v>
      </c>
      <c r="E9" s="265">
        <v>0.2</v>
      </c>
      <c r="F9" s="85" t="s">
        <v>332</v>
      </c>
      <c r="G9" s="85">
        <v>86000</v>
      </c>
      <c r="H9" s="86">
        <v>0.3</v>
      </c>
      <c r="I9" s="85">
        <f t="shared" si="0"/>
        <v>22360</v>
      </c>
      <c r="J9" s="85" t="s">
        <v>340</v>
      </c>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2:52" x14ac:dyDescent="0.2">
      <c r="B10" s="135" t="s">
        <v>43</v>
      </c>
      <c r="C10" s="146" t="s">
        <v>230</v>
      </c>
      <c r="E10" s="265">
        <v>0.2</v>
      </c>
      <c r="F10" s="85" t="s">
        <v>332</v>
      </c>
      <c r="G10" s="85">
        <v>90000</v>
      </c>
      <c r="H10" s="86">
        <v>0.3</v>
      </c>
      <c r="I10" s="85">
        <f t="shared" si="0"/>
        <v>23400</v>
      </c>
      <c r="J10" s="85" t="s">
        <v>340</v>
      </c>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2:52" x14ac:dyDescent="0.2">
      <c r="B11" s="135" t="s">
        <v>131</v>
      </c>
      <c r="C11" s="107" t="s">
        <v>271</v>
      </c>
      <c r="E11" s="266"/>
      <c r="F11" s="85" t="s">
        <v>332</v>
      </c>
      <c r="G11" s="85"/>
      <c r="H11" s="86"/>
      <c r="I11" s="85">
        <v>5000</v>
      </c>
      <c r="J11" s="85" t="s">
        <v>362</v>
      </c>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2:52" x14ac:dyDescent="0.2">
      <c r="B12" s="110" t="s">
        <v>216</v>
      </c>
      <c r="C12" s="107"/>
      <c r="E12" s="265"/>
      <c r="F12" s="85"/>
      <c r="G12" s="85"/>
      <c r="H12" s="86"/>
      <c r="I12" s="85"/>
      <c r="J12" s="85"/>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2:52" x14ac:dyDescent="0.2">
      <c r="B13" s="166" t="s">
        <v>18</v>
      </c>
      <c r="C13" s="80" t="s">
        <v>21</v>
      </c>
      <c r="E13" s="265">
        <v>1.5</v>
      </c>
      <c r="F13" s="85" t="s">
        <v>332</v>
      </c>
      <c r="G13" s="85">
        <v>73000</v>
      </c>
      <c r="H13" s="86">
        <v>0.3</v>
      </c>
      <c r="I13" s="85">
        <f t="shared" ref="I13:I14" si="1">+G13*(1+H13)*E13</f>
        <v>142350</v>
      </c>
      <c r="J13" s="85" t="s">
        <v>353</v>
      </c>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2:52" x14ac:dyDescent="0.2">
      <c r="B14" s="166" t="s">
        <v>19</v>
      </c>
      <c r="C14" s="107"/>
      <c r="E14" s="265">
        <v>0.5</v>
      </c>
      <c r="F14" s="85" t="s">
        <v>332</v>
      </c>
      <c r="G14" s="85">
        <v>80000</v>
      </c>
      <c r="H14" s="86">
        <v>0.3</v>
      </c>
      <c r="I14" s="85">
        <f t="shared" si="1"/>
        <v>52000</v>
      </c>
      <c r="J14" s="85" t="s">
        <v>353</v>
      </c>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2:52" x14ac:dyDescent="0.2">
      <c r="B15" s="166" t="s">
        <v>20</v>
      </c>
      <c r="C15" s="80" t="s">
        <v>21</v>
      </c>
      <c r="E15" s="265">
        <v>1</v>
      </c>
      <c r="F15" s="85" t="s">
        <v>332</v>
      </c>
      <c r="G15" s="85">
        <v>77000</v>
      </c>
      <c r="H15" s="86">
        <v>0.3</v>
      </c>
      <c r="I15" s="85">
        <f t="shared" ref="I15:I21" si="2">+G15*(1+H15)*E15</f>
        <v>100100</v>
      </c>
      <c r="J15" s="85" t="s">
        <v>353</v>
      </c>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2:52" x14ac:dyDescent="0.2">
      <c r="B16" s="166" t="s">
        <v>125</v>
      </c>
      <c r="C16" s="80" t="s">
        <v>21</v>
      </c>
      <c r="E16" s="265">
        <v>0.5</v>
      </c>
      <c r="F16" s="85" t="s">
        <v>332</v>
      </c>
      <c r="G16" s="85">
        <v>73000</v>
      </c>
      <c r="H16" s="86">
        <v>0.3</v>
      </c>
      <c r="I16" s="85">
        <f t="shared" si="2"/>
        <v>47450</v>
      </c>
      <c r="J16" s="85" t="s">
        <v>353</v>
      </c>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2:52" x14ac:dyDescent="0.2">
      <c r="B17" s="166" t="s">
        <v>126</v>
      </c>
      <c r="C17" s="80" t="s">
        <v>21</v>
      </c>
      <c r="E17" s="265">
        <v>0.5</v>
      </c>
      <c r="F17" s="85" t="s">
        <v>332</v>
      </c>
      <c r="G17" s="85">
        <v>82000</v>
      </c>
      <c r="H17" s="86">
        <v>0.3</v>
      </c>
      <c r="I17" s="85">
        <f t="shared" si="2"/>
        <v>53300</v>
      </c>
      <c r="J17" s="85" t="s">
        <v>353</v>
      </c>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2:52" x14ac:dyDescent="0.2">
      <c r="B18" s="166" t="s">
        <v>49</v>
      </c>
      <c r="C18" s="107" t="s">
        <v>200</v>
      </c>
      <c r="E18" s="86">
        <v>0.25</v>
      </c>
      <c r="F18" s="85" t="s">
        <v>332</v>
      </c>
      <c r="G18" s="85">
        <v>55000</v>
      </c>
      <c r="H18" s="86">
        <v>0.3</v>
      </c>
      <c r="I18" s="85">
        <f t="shared" si="2"/>
        <v>17875</v>
      </c>
      <c r="J18" s="85" t="s">
        <v>353</v>
      </c>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2:52" x14ac:dyDescent="0.2">
      <c r="B19" s="166" t="s">
        <v>46</v>
      </c>
      <c r="C19" s="80" t="s">
        <v>21</v>
      </c>
      <c r="E19" s="86">
        <v>0.25</v>
      </c>
      <c r="F19" s="85" t="s">
        <v>332</v>
      </c>
      <c r="G19" s="85">
        <v>82000</v>
      </c>
      <c r="H19" s="86">
        <v>0.3</v>
      </c>
      <c r="I19" s="85">
        <f t="shared" si="2"/>
        <v>26650</v>
      </c>
      <c r="J19" s="85" t="s">
        <v>353</v>
      </c>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2:52" x14ac:dyDescent="0.2">
      <c r="B20" s="166" t="s">
        <v>127</v>
      </c>
      <c r="C20" s="107" t="s">
        <v>40</v>
      </c>
      <c r="E20" s="86">
        <v>0.25</v>
      </c>
      <c r="F20" s="85" t="s">
        <v>332</v>
      </c>
      <c r="G20" s="85">
        <v>85000</v>
      </c>
      <c r="H20" s="86">
        <v>0.3</v>
      </c>
      <c r="I20" s="85">
        <f t="shared" si="2"/>
        <v>27625</v>
      </c>
      <c r="J20" s="85" t="s">
        <v>353</v>
      </c>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2:52" x14ac:dyDescent="0.2">
      <c r="B21" s="166" t="s">
        <v>95</v>
      </c>
      <c r="C21" s="80" t="s">
        <v>21</v>
      </c>
      <c r="E21" s="86">
        <v>0.25</v>
      </c>
      <c r="F21" s="85" t="s">
        <v>332</v>
      </c>
      <c r="G21" s="85">
        <v>77000</v>
      </c>
      <c r="H21" s="86">
        <v>0.3</v>
      </c>
      <c r="I21" s="85">
        <f t="shared" si="2"/>
        <v>25025</v>
      </c>
      <c r="J21" s="85" t="s">
        <v>353</v>
      </c>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2:52" x14ac:dyDescent="0.2">
      <c r="B22" s="166" t="s">
        <v>131</v>
      </c>
      <c r="C22" s="107" t="s">
        <v>351</v>
      </c>
      <c r="E22" s="265">
        <v>1</v>
      </c>
      <c r="F22" s="85" t="s">
        <v>348</v>
      </c>
      <c r="G22" s="85"/>
      <c r="H22" s="86"/>
      <c r="I22" s="85">
        <v>70000</v>
      </c>
      <c r="J22" s="85" t="s">
        <v>355</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2:52" x14ac:dyDescent="0.2">
      <c r="B23" s="167" t="s">
        <v>184</v>
      </c>
      <c r="C23" s="116"/>
      <c r="E23" s="267"/>
      <c r="F23" s="117"/>
      <c r="G23" s="117"/>
      <c r="H23" s="149"/>
      <c r="I23" s="117">
        <f>SUM(I4:I22)</f>
        <v>670075</v>
      </c>
      <c r="J23" s="117"/>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row>
    <row r="24" spans="2:52" ht="25.5" x14ac:dyDescent="0.2">
      <c r="B24" s="165" t="s">
        <v>217</v>
      </c>
      <c r="C24" s="144"/>
      <c r="E24" s="265"/>
      <c r="F24" s="85"/>
      <c r="G24" s="182" t="s">
        <v>202</v>
      </c>
      <c r="H24" s="183" t="s">
        <v>196</v>
      </c>
      <c r="I24" s="85"/>
      <c r="J24" s="85"/>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2:52" x14ac:dyDescent="0.2">
      <c r="B25" s="166" t="s">
        <v>35</v>
      </c>
      <c r="C25" s="80"/>
      <c r="D25" s="1" t="s">
        <v>16</v>
      </c>
      <c r="E25" s="265">
        <v>0.5</v>
      </c>
      <c r="F25" s="85" t="s">
        <v>349</v>
      </c>
      <c r="G25" s="85">
        <v>42000</v>
      </c>
      <c r="H25" s="151">
        <v>5</v>
      </c>
      <c r="I25" s="85">
        <f>+E25*G25/H25</f>
        <v>4200</v>
      </c>
      <c r="J25" s="85" t="s">
        <v>357</v>
      </c>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2:52" x14ac:dyDescent="0.2">
      <c r="B26" s="166" t="s">
        <v>32</v>
      </c>
      <c r="C26" s="80"/>
      <c r="D26" s="1" t="s">
        <v>16</v>
      </c>
      <c r="E26" s="265">
        <v>0.5</v>
      </c>
      <c r="F26" s="85" t="s">
        <v>349</v>
      </c>
      <c r="G26" s="85">
        <v>40000</v>
      </c>
      <c r="H26" s="151">
        <v>5</v>
      </c>
      <c r="I26" s="85">
        <f t="shared" ref="I26:I31" si="3">+E26*G26/H26</f>
        <v>4000</v>
      </c>
      <c r="J26" s="85" t="s">
        <v>357</v>
      </c>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2:52" x14ac:dyDescent="0.2">
      <c r="B27" s="166" t="s">
        <v>31</v>
      </c>
      <c r="C27" s="80"/>
      <c r="D27" s="1" t="s">
        <v>16</v>
      </c>
      <c r="E27" s="265">
        <v>0.5</v>
      </c>
      <c r="F27" s="85" t="s">
        <v>349</v>
      </c>
      <c r="G27" s="85">
        <v>100000</v>
      </c>
      <c r="H27" s="151">
        <v>10</v>
      </c>
      <c r="I27" s="85">
        <f t="shared" si="3"/>
        <v>5000</v>
      </c>
      <c r="J27" s="85" t="s">
        <v>357</v>
      </c>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2:52" x14ac:dyDescent="0.2">
      <c r="B28" s="166" t="s">
        <v>30</v>
      </c>
      <c r="C28" s="80"/>
      <c r="D28" s="1" t="s">
        <v>17</v>
      </c>
      <c r="E28" s="265">
        <v>0.5</v>
      </c>
      <c r="F28" s="85" t="s">
        <v>349</v>
      </c>
      <c r="G28" s="85">
        <v>250000</v>
      </c>
      <c r="H28" s="151">
        <v>15</v>
      </c>
      <c r="I28" s="85">
        <f t="shared" si="3"/>
        <v>8333.3333333333339</v>
      </c>
      <c r="J28" s="85" t="s">
        <v>357</v>
      </c>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2:52" x14ac:dyDescent="0.2">
      <c r="B29" s="166" t="s">
        <v>128</v>
      </c>
      <c r="C29" s="80"/>
      <c r="E29" s="86">
        <v>0.25</v>
      </c>
      <c r="F29" s="85" t="s">
        <v>349</v>
      </c>
      <c r="G29" s="85">
        <v>350000</v>
      </c>
      <c r="H29" s="151">
        <v>15</v>
      </c>
      <c r="I29" s="85">
        <f t="shared" si="3"/>
        <v>5833.333333333333</v>
      </c>
      <c r="J29" s="85" t="s">
        <v>358</v>
      </c>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2:52" x14ac:dyDescent="0.2">
      <c r="B30" s="166" t="s">
        <v>53</v>
      </c>
      <c r="C30" s="80"/>
      <c r="E30" s="265">
        <v>1.5</v>
      </c>
      <c r="F30" s="85" t="s">
        <v>349</v>
      </c>
      <c r="G30" s="85">
        <v>15000</v>
      </c>
      <c r="H30" s="151">
        <v>5</v>
      </c>
      <c r="I30" s="85">
        <f t="shared" si="3"/>
        <v>4500</v>
      </c>
      <c r="J30" s="85" t="s">
        <v>357</v>
      </c>
      <c r="K30" s="100"/>
      <c r="L30" s="210" t="s">
        <v>190</v>
      </c>
      <c r="M30" s="210">
        <f>+I23</f>
        <v>670075</v>
      </c>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2:52" x14ac:dyDescent="0.2">
      <c r="B31" s="166" t="s">
        <v>191</v>
      </c>
      <c r="C31" s="80"/>
      <c r="D31" s="1" t="s">
        <v>17</v>
      </c>
      <c r="E31" s="265">
        <v>1.5</v>
      </c>
      <c r="F31" s="85" t="s">
        <v>349</v>
      </c>
      <c r="G31" s="85">
        <v>15000</v>
      </c>
      <c r="H31" s="151">
        <v>5</v>
      </c>
      <c r="I31" s="85">
        <f t="shared" si="3"/>
        <v>4500</v>
      </c>
      <c r="J31" s="85" t="s">
        <v>357</v>
      </c>
      <c r="K31" s="100"/>
      <c r="L31" s="210" t="s">
        <v>217</v>
      </c>
      <c r="M31" s="210">
        <f>+I33</f>
        <v>121366.66666666667</v>
      </c>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2:52" x14ac:dyDescent="0.2">
      <c r="B32" s="166" t="s">
        <v>132</v>
      </c>
      <c r="C32" s="80"/>
      <c r="E32" s="265"/>
      <c r="F32" s="85"/>
      <c r="G32" s="85"/>
      <c r="H32" s="85"/>
      <c r="I32" s="85">
        <v>85000</v>
      </c>
      <c r="J32" s="85" t="s">
        <v>359</v>
      </c>
      <c r="K32" s="100"/>
      <c r="L32" s="210" t="s">
        <v>186</v>
      </c>
      <c r="M32" s="210">
        <f>+I39</f>
        <v>99925</v>
      </c>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2:52" x14ac:dyDescent="0.2">
      <c r="B33" s="167" t="s">
        <v>184</v>
      </c>
      <c r="C33" s="80"/>
      <c r="E33" s="266">
        <f>SUM(E25:E31)</f>
        <v>5.25</v>
      </c>
      <c r="F33" s="152"/>
      <c r="G33" s="152"/>
      <c r="H33" s="152"/>
      <c r="I33" s="152">
        <f>SUM(I25:I32)</f>
        <v>121366.66666666667</v>
      </c>
      <c r="J33" s="152"/>
      <c r="K33" s="28"/>
      <c r="L33" s="211" t="s">
        <v>301</v>
      </c>
      <c r="M33" s="211">
        <f>+I44</f>
        <v>521837.5</v>
      </c>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row>
    <row r="34" spans="2:52" x14ac:dyDescent="0.2">
      <c r="B34" s="165" t="s">
        <v>186</v>
      </c>
      <c r="C34" s="153"/>
      <c r="E34" s="154"/>
      <c r="F34" s="155"/>
      <c r="G34" s="184" t="s">
        <v>202</v>
      </c>
      <c r="H34" s="155"/>
      <c r="I34" s="155"/>
      <c r="J34" s="155"/>
      <c r="K34" s="100"/>
      <c r="L34" s="210" t="s">
        <v>300</v>
      </c>
      <c r="M34" s="210">
        <f>+I45</f>
        <v>523174.859</v>
      </c>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2:52" x14ac:dyDescent="0.2">
      <c r="B35" s="166" t="s">
        <v>222</v>
      </c>
      <c r="C35" s="80"/>
      <c r="E35" s="156">
        <v>10</v>
      </c>
      <c r="F35" s="85" t="s">
        <v>142</v>
      </c>
      <c r="G35" s="85">
        <v>1500</v>
      </c>
      <c r="H35" s="85"/>
      <c r="I35" s="157">
        <f>+G35*E35</f>
        <v>15000</v>
      </c>
      <c r="J35" s="85" t="s">
        <v>360</v>
      </c>
      <c r="K35" s="100"/>
      <c r="L35" s="210" t="s">
        <v>296</v>
      </c>
      <c r="M35" s="210">
        <f>+I47</f>
        <v>211980.62499999997</v>
      </c>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2:52" x14ac:dyDescent="0.2">
      <c r="B36" s="166" t="s">
        <v>223</v>
      </c>
      <c r="C36" s="80" t="s">
        <v>369</v>
      </c>
      <c r="D36" s="80"/>
      <c r="E36" s="84">
        <f>807*0.1</f>
        <v>80.7</v>
      </c>
      <c r="F36" s="85" t="s">
        <v>36</v>
      </c>
      <c r="G36" s="85">
        <v>750</v>
      </c>
      <c r="H36" s="85"/>
      <c r="I36" s="85">
        <f>10000+(+E36*G36)</f>
        <v>70525</v>
      </c>
      <c r="J36" s="85" t="s">
        <v>361</v>
      </c>
      <c r="K36" s="100"/>
      <c r="L36" s="210"/>
      <c r="M36" s="21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2:52" x14ac:dyDescent="0.2">
      <c r="B37" s="166" t="s">
        <v>366</v>
      </c>
      <c r="C37" s="80" t="s">
        <v>368</v>
      </c>
      <c r="D37" s="1" t="s">
        <v>33</v>
      </c>
      <c r="E37" s="84"/>
      <c r="F37" s="85"/>
      <c r="G37" s="85"/>
      <c r="H37" s="85"/>
      <c r="I37" s="85">
        <v>0</v>
      </c>
      <c r="J37" s="85" t="s">
        <v>92</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2:52" x14ac:dyDescent="0.2">
      <c r="B38" s="166" t="s">
        <v>367</v>
      </c>
      <c r="C38" s="80" t="s">
        <v>368</v>
      </c>
      <c r="D38" s="1" t="s">
        <v>33</v>
      </c>
      <c r="E38" s="84">
        <v>120</v>
      </c>
      <c r="F38" s="85" t="s">
        <v>15</v>
      </c>
      <c r="G38" s="85">
        <v>120</v>
      </c>
      <c r="H38" s="85"/>
      <c r="I38" s="85">
        <f>+G38*E38</f>
        <v>14400</v>
      </c>
      <c r="J38" s="85" t="s">
        <v>333</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2:52" x14ac:dyDescent="0.2">
      <c r="B39" s="167" t="s">
        <v>184</v>
      </c>
      <c r="C39" s="116"/>
      <c r="E39" s="148"/>
      <c r="F39" s="117"/>
      <c r="G39" s="117"/>
      <c r="H39" s="117"/>
      <c r="I39" s="117">
        <f>SUM(I35:I38)</f>
        <v>99925</v>
      </c>
      <c r="J39" s="117"/>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row>
    <row r="40" spans="2:52" x14ac:dyDescent="0.2">
      <c r="B40" s="165" t="s">
        <v>224</v>
      </c>
      <c r="C40" s="144"/>
      <c r="E40" s="154"/>
      <c r="F40" s="155"/>
      <c r="G40" s="155"/>
      <c r="H40" s="155"/>
      <c r="I40" s="155"/>
      <c r="J40" s="155"/>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2:52" x14ac:dyDescent="0.2">
      <c r="B41" s="166" t="s">
        <v>183</v>
      </c>
      <c r="C41" s="80"/>
      <c r="E41" s="84"/>
      <c r="F41" s="85"/>
      <c r="G41" s="85"/>
      <c r="H41" s="85"/>
      <c r="I41" s="85">
        <v>200000</v>
      </c>
      <c r="J41" s="85" t="s">
        <v>134</v>
      </c>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2:52" x14ac:dyDescent="0.2">
      <c r="B42" s="166" t="s">
        <v>187</v>
      </c>
      <c r="C42" s="80"/>
      <c r="E42" s="156">
        <f>2*263</f>
        <v>526</v>
      </c>
      <c r="F42" s="85" t="s">
        <v>64</v>
      </c>
      <c r="G42" s="85">
        <f>375*1.15</f>
        <v>431.24999999999994</v>
      </c>
      <c r="H42" s="85"/>
      <c r="I42" s="157">
        <f>+E42*G42</f>
        <v>226837.49999999997</v>
      </c>
      <c r="J42" s="85" t="s">
        <v>101</v>
      </c>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2:52" ht="25.5" x14ac:dyDescent="0.2">
      <c r="B43" s="168" t="s">
        <v>251</v>
      </c>
      <c r="C43" s="248" t="s">
        <v>327</v>
      </c>
      <c r="D43" s="111">
        <v>3.8000000000000002E-4</v>
      </c>
      <c r="E43" s="249">
        <v>3.8000000000000002E-4</v>
      </c>
      <c r="F43" s="162" t="s">
        <v>328</v>
      </c>
      <c r="G43" s="112">
        <v>250000000</v>
      </c>
      <c r="H43" s="112"/>
      <c r="I43" s="112">
        <f>E43*G43</f>
        <v>95000</v>
      </c>
      <c r="J43" s="172" t="s">
        <v>99</v>
      </c>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2:52" x14ac:dyDescent="0.2">
      <c r="B44" s="116" t="s">
        <v>179</v>
      </c>
      <c r="C44" s="159"/>
      <c r="E44" s="169"/>
      <c r="F44" s="170"/>
      <c r="G44" s="170"/>
      <c r="H44" s="170"/>
      <c r="I44" s="171">
        <f>SUM(I41:I43)</f>
        <v>521837.5</v>
      </c>
      <c r="J44" s="173"/>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x14ac:dyDescent="0.2">
      <c r="B45" s="138" t="s">
        <v>299</v>
      </c>
      <c r="C45" s="160"/>
      <c r="E45" s="161"/>
      <c r="F45" s="108"/>
      <c r="G45" s="108"/>
      <c r="H45" s="162"/>
      <c r="I45" s="163">
        <f>+'Corporate Support'!G17*0.1928+ECC!G10*0.25</f>
        <v>523174.859</v>
      </c>
      <c r="J45" s="172"/>
      <c r="K45" s="27"/>
      <c r="L45" s="27"/>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2:52" x14ac:dyDescent="0.2">
      <c r="B46" s="131"/>
      <c r="C46" s="308" t="s">
        <v>34</v>
      </c>
      <c r="D46" s="308"/>
      <c r="E46" s="308"/>
      <c r="F46" s="308"/>
      <c r="G46" s="308"/>
      <c r="H46" s="309"/>
      <c r="I46" s="97">
        <f>+I23+I33+I39+I44+I45</f>
        <v>1936379.0256666664</v>
      </c>
      <c r="J46" s="97"/>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2:52" x14ac:dyDescent="0.2">
      <c r="B47" s="131"/>
      <c r="C47" s="308" t="s">
        <v>374</v>
      </c>
      <c r="D47" s="308"/>
      <c r="E47" s="308"/>
      <c r="F47" s="308"/>
      <c r="G47" s="308"/>
      <c r="H47" s="309"/>
      <c r="I47" s="97">
        <f>+(I46-I45)*0.15</f>
        <v>211980.62499999997</v>
      </c>
      <c r="J47" s="97"/>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2:52" x14ac:dyDescent="0.2">
      <c r="B48" s="304" t="s">
        <v>290</v>
      </c>
      <c r="C48" s="305"/>
      <c r="D48" s="305"/>
      <c r="E48" s="305"/>
      <c r="F48" s="305"/>
      <c r="G48" s="305"/>
      <c r="H48" s="306"/>
      <c r="I48" s="176">
        <f>I46+I47</f>
        <v>2148359.6506666662</v>
      </c>
      <c r="J48" s="177"/>
      <c r="K48" s="164"/>
      <c r="L48" s="164"/>
    </row>
    <row r="49" spans="2:9" ht="3" customHeight="1" x14ac:dyDescent="0.2"/>
    <row r="50" spans="2:9" x14ac:dyDescent="0.2">
      <c r="B50" s="227" t="s">
        <v>364</v>
      </c>
    </row>
    <row r="51" spans="2:9" x14ac:dyDescent="0.2">
      <c r="B51" s="1" t="s">
        <v>148</v>
      </c>
    </row>
    <row r="52" spans="2:9" x14ac:dyDescent="0.2">
      <c r="B52" s="1" t="s">
        <v>149</v>
      </c>
      <c r="I52" s="292">
        <f>(I45+I23)/I46</f>
        <v>0.61622742406496667</v>
      </c>
    </row>
    <row r="53" spans="2:9" x14ac:dyDescent="0.2">
      <c r="B53" s="1" t="s">
        <v>232</v>
      </c>
    </row>
    <row r="54" spans="2:9" x14ac:dyDescent="0.2">
      <c r="B54" s="1" t="s">
        <v>157</v>
      </c>
    </row>
    <row r="55" spans="2:9" x14ac:dyDescent="0.2">
      <c r="B55" s="1" t="s">
        <v>150</v>
      </c>
    </row>
    <row r="56" spans="2:9" x14ac:dyDescent="0.2">
      <c r="B56" s="1" t="s">
        <v>151</v>
      </c>
    </row>
    <row r="57" spans="2:9" x14ac:dyDescent="0.2">
      <c r="B57" s="1" t="s">
        <v>231</v>
      </c>
    </row>
    <row r="58" spans="2:9" x14ac:dyDescent="0.2">
      <c r="B58" s="1" t="s">
        <v>152</v>
      </c>
    </row>
    <row r="59" spans="2:9" x14ac:dyDescent="0.2">
      <c r="B59" s="1" t="s">
        <v>172</v>
      </c>
    </row>
    <row r="60" spans="2:9" x14ac:dyDescent="0.2">
      <c r="B60" s="1" t="s">
        <v>220</v>
      </c>
    </row>
    <row r="61" spans="2:9" x14ac:dyDescent="0.2">
      <c r="B61" s="1" t="s">
        <v>233</v>
      </c>
    </row>
    <row r="62" spans="2:9" x14ac:dyDescent="0.2">
      <c r="B62" s="310" t="s">
        <v>235</v>
      </c>
      <c r="C62" s="311"/>
      <c r="D62" s="311"/>
      <c r="E62" s="311"/>
      <c r="F62" s="311"/>
      <c r="G62" s="311"/>
      <c r="H62" s="311"/>
      <c r="I62" s="311"/>
    </row>
    <row r="63" spans="2:9" x14ac:dyDescent="0.2">
      <c r="B63" s="1" t="s">
        <v>234</v>
      </c>
    </row>
    <row r="64" spans="2:9" x14ac:dyDescent="0.2">
      <c r="B64" s="1" t="s">
        <v>225</v>
      </c>
    </row>
    <row r="66" spans="2:2" x14ac:dyDescent="0.2">
      <c r="B66" s="273" t="s">
        <v>365</v>
      </c>
    </row>
    <row r="67" spans="2:2" x14ac:dyDescent="0.2">
      <c r="B67" s="274" t="s">
        <v>363</v>
      </c>
    </row>
    <row r="68" spans="2:2" x14ac:dyDescent="0.2">
      <c r="B68" s="274" t="s">
        <v>354</v>
      </c>
    </row>
    <row r="69" spans="2:2" x14ac:dyDescent="0.2">
      <c r="B69" s="274" t="s">
        <v>356</v>
      </c>
    </row>
  </sheetData>
  <mergeCells count="5">
    <mergeCell ref="B62:I62"/>
    <mergeCell ref="E2:J2"/>
    <mergeCell ref="B48:H48"/>
    <mergeCell ref="C46:H46"/>
    <mergeCell ref="C47:H47"/>
  </mergeCells>
  <hyperlinks>
    <hyperlink ref="D1" location="Summary!A1" display="Return to Summary Sheet"/>
    <hyperlink ref="C1" location="Summary!A1" display="Return to Summary Sheet"/>
    <hyperlink ref="B45" location="Corporate!A1" display="Corporate &amp; Energy Control Center Allocated Costs"/>
  </hyperlinks>
  <printOptions horizontalCentered="1" verticalCentered="1"/>
  <pageMargins left="0.45" right="0.45" top="0.5" bottom="0.5" header="0" footer="0"/>
  <pageSetup paperSize="17"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92"/>
  <sheetViews>
    <sheetView showGridLines="0" zoomScale="92" zoomScaleNormal="92" workbookViewId="0">
      <selection activeCell="H66" sqref="H66"/>
    </sheetView>
  </sheetViews>
  <sheetFormatPr defaultColWidth="9.140625" defaultRowHeight="12.75" x14ac:dyDescent="0.2"/>
  <cols>
    <col min="1" max="1" width="4.7109375" style="129" customWidth="1"/>
    <col min="2" max="2" width="45.42578125" style="129" customWidth="1"/>
    <col min="3" max="3" width="48" style="129" customWidth="1"/>
    <col min="4" max="4" width="8.28515625" style="129" bestFit="1" customWidth="1"/>
    <col min="5" max="5" width="13" style="129" customWidth="1"/>
    <col min="6" max="6" width="13.85546875" style="129" bestFit="1" customWidth="1"/>
    <col min="7" max="7" width="11.42578125" style="129" bestFit="1" customWidth="1"/>
    <col min="8" max="8" width="12.5703125" style="129" bestFit="1" customWidth="1"/>
    <col min="9" max="9" width="5.7109375" style="129" bestFit="1" customWidth="1"/>
    <col min="10" max="51" width="13.85546875" style="129" customWidth="1"/>
    <col min="52" max="52" width="7.42578125" style="129" customWidth="1"/>
    <col min="53" max="16384" width="9.140625" style="129"/>
  </cols>
  <sheetData>
    <row r="1" spans="2:64" s="186" customFormat="1" ht="23.25" x14ac:dyDescent="0.35">
      <c r="B1" s="228" t="s">
        <v>310</v>
      </c>
      <c r="D1" s="61"/>
      <c r="E1" s="61"/>
      <c r="F1" s="61"/>
      <c r="G1" s="61" t="s">
        <v>279</v>
      </c>
      <c r="H1" s="61"/>
      <c r="I1" s="61"/>
    </row>
    <row r="2" spans="2:64" s="1" customFormat="1" ht="12.75" customHeight="1" x14ac:dyDescent="0.2">
      <c r="B2" s="2"/>
      <c r="C2" s="2"/>
      <c r="D2" s="61"/>
      <c r="E2" s="61"/>
      <c r="F2" s="61"/>
      <c r="G2" s="61"/>
      <c r="H2" s="61"/>
      <c r="I2" s="61"/>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row>
    <row r="3" spans="2:64" s="1" customFormat="1" ht="23.25" customHeight="1" x14ac:dyDescent="0.2">
      <c r="B3" s="179" t="s">
        <v>13</v>
      </c>
      <c r="C3" s="179" t="s">
        <v>22</v>
      </c>
      <c r="D3" s="72" t="s">
        <v>1</v>
      </c>
      <c r="E3" s="72" t="s">
        <v>14</v>
      </c>
      <c r="F3" s="72"/>
      <c r="G3" s="72"/>
      <c r="H3" s="72" t="s">
        <v>2</v>
      </c>
      <c r="I3" s="72" t="s">
        <v>86</v>
      </c>
      <c r="J3" s="75"/>
      <c r="K3" s="75"/>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91"/>
      <c r="BA3" s="91"/>
      <c r="BB3" s="91"/>
      <c r="BC3" s="91"/>
      <c r="BD3" s="91"/>
      <c r="BE3" s="91"/>
      <c r="BF3" s="91"/>
      <c r="BG3" s="91"/>
      <c r="BH3" s="91"/>
      <c r="BI3" s="91"/>
      <c r="BJ3" s="91"/>
      <c r="BK3" s="91"/>
      <c r="BL3" s="91"/>
    </row>
    <row r="4" spans="2:64" s="1" customFormat="1" x14ac:dyDescent="0.2">
      <c r="B4" s="187" t="s">
        <v>236</v>
      </c>
      <c r="C4" s="187"/>
      <c r="D4" s="188"/>
      <c r="E4" s="188"/>
      <c r="F4" s="189"/>
      <c r="G4" s="189"/>
      <c r="H4" s="190">
        <f t="shared" ref="H4:H16" si="0">+D4*(1+G4)*F4</f>
        <v>0</v>
      </c>
      <c r="I4" s="191" t="s">
        <v>87</v>
      </c>
      <c r="J4" s="2"/>
      <c r="K4" s="2"/>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row>
    <row r="5" spans="2:64" s="1" customFormat="1" x14ac:dyDescent="0.2">
      <c r="B5" s="150" t="s">
        <v>237</v>
      </c>
      <c r="C5" s="144"/>
      <c r="D5" s="156"/>
      <c r="E5" s="85"/>
      <c r="F5" s="182" t="s">
        <v>84</v>
      </c>
      <c r="G5" s="183" t="s">
        <v>85</v>
      </c>
      <c r="H5" s="157"/>
      <c r="I5" s="85"/>
      <c r="J5" s="87"/>
      <c r="K5" s="87"/>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91"/>
      <c r="BA5" s="91"/>
      <c r="BB5" s="91"/>
      <c r="BC5" s="91"/>
      <c r="BD5" s="91"/>
      <c r="BE5" s="91"/>
      <c r="BF5" s="91"/>
      <c r="BG5" s="91"/>
      <c r="BH5" s="91"/>
      <c r="BI5" s="91"/>
      <c r="BJ5" s="91"/>
      <c r="BK5" s="91"/>
      <c r="BL5" s="91"/>
    </row>
    <row r="6" spans="2:64" s="1" customFormat="1" ht="15" customHeight="1" x14ac:dyDescent="0.2">
      <c r="B6" s="82" t="s">
        <v>18</v>
      </c>
      <c r="C6" s="80" t="s">
        <v>21</v>
      </c>
      <c r="D6" s="261">
        <v>8</v>
      </c>
      <c r="E6" s="85" t="s">
        <v>332</v>
      </c>
      <c r="F6" s="85">
        <v>73000</v>
      </c>
      <c r="G6" s="192">
        <v>0.3</v>
      </c>
      <c r="H6" s="87">
        <f t="shared" si="0"/>
        <v>759200</v>
      </c>
      <c r="I6" s="85" t="s">
        <v>129</v>
      </c>
      <c r="J6" s="87"/>
      <c r="K6" s="87"/>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91"/>
      <c r="BA6" s="91"/>
      <c r="BB6" s="91"/>
      <c r="BC6" s="91"/>
      <c r="BD6" s="91"/>
      <c r="BE6" s="91"/>
      <c r="BF6" s="91"/>
      <c r="BG6" s="91"/>
      <c r="BH6" s="91"/>
      <c r="BI6" s="91"/>
      <c r="BJ6" s="91"/>
      <c r="BK6" s="91"/>
      <c r="BL6" s="91"/>
    </row>
    <row r="7" spans="2:64" s="1" customFormat="1" x14ac:dyDescent="0.2">
      <c r="B7" s="82" t="s">
        <v>20</v>
      </c>
      <c r="C7" s="107"/>
      <c r="D7" s="261">
        <v>6</v>
      </c>
      <c r="E7" s="85" t="s">
        <v>332</v>
      </c>
      <c r="F7" s="85">
        <v>77000</v>
      </c>
      <c r="G7" s="192">
        <v>0.3</v>
      </c>
      <c r="H7" s="87">
        <f t="shared" si="0"/>
        <v>600600</v>
      </c>
      <c r="I7" s="85" t="s">
        <v>129</v>
      </c>
      <c r="J7" s="87"/>
      <c r="K7" s="87"/>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91"/>
      <c r="BA7" s="91"/>
      <c r="BB7" s="91"/>
      <c r="BC7" s="91"/>
      <c r="BD7" s="91"/>
      <c r="BE7" s="91"/>
      <c r="BF7" s="91"/>
      <c r="BG7" s="91"/>
      <c r="BH7" s="91"/>
      <c r="BI7" s="91"/>
      <c r="BJ7" s="91"/>
      <c r="BK7" s="91"/>
      <c r="BL7" s="91"/>
    </row>
    <row r="8" spans="2:64" s="1" customFormat="1" x14ac:dyDescent="0.2">
      <c r="B8" s="82" t="s">
        <v>136</v>
      </c>
      <c r="C8" s="107"/>
      <c r="D8" s="261">
        <v>4</v>
      </c>
      <c r="E8" s="85" t="s">
        <v>332</v>
      </c>
      <c r="F8" s="85">
        <v>80000</v>
      </c>
      <c r="G8" s="192">
        <v>0.3</v>
      </c>
      <c r="H8" s="87">
        <f t="shared" si="0"/>
        <v>416000</v>
      </c>
      <c r="I8" s="85" t="s">
        <v>129</v>
      </c>
      <c r="J8" s="87"/>
      <c r="K8" s="87"/>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91"/>
      <c r="BA8" s="91"/>
      <c r="BB8" s="91"/>
      <c r="BC8" s="91"/>
      <c r="BD8" s="91"/>
      <c r="BE8" s="91"/>
      <c r="BF8" s="91"/>
      <c r="BG8" s="91"/>
      <c r="BH8" s="91"/>
      <c r="BI8" s="91"/>
      <c r="BJ8" s="91"/>
      <c r="BK8" s="91"/>
      <c r="BL8" s="91"/>
    </row>
    <row r="9" spans="2:64" s="1" customFormat="1" x14ac:dyDescent="0.2">
      <c r="B9" s="82" t="s">
        <v>137</v>
      </c>
      <c r="C9" s="107"/>
      <c r="D9" s="261">
        <v>3</v>
      </c>
      <c r="E9" s="85" t="s">
        <v>332</v>
      </c>
      <c r="F9" s="85">
        <v>80000</v>
      </c>
      <c r="G9" s="192">
        <v>0.3</v>
      </c>
      <c r="H9" s="87">
        <f t="shared" si="0"/>
        <v>312000</v>
      </c>
      <c r="I9" s="85" t="s">
        <v>129</v>
      </c>
      <c r="J9" s="87"/>
      <c r="K9" s="87"/>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91"/>
      <c r="BA9" s="91"/>
      <c r="BB9" s="91"/>
      <c r="BC9" s="91"/>
      <c r="BD9" s="91"/>
      <c r="BE9" s="91"/>
      <c r="BF9" s="91"/>
      <c r="BG9" s="91"/>
      <c r="BH9" s="91"/>
      <c r="BI9" s="91"/>
      <c r="BJ9" s="91"/>
      <c r="BK9" s="91"/>
      <c r="BL9" s="91"/>
    </row>
    <row r="10" spans="2:64" s="1" customFormat="1" x14ac:dyDescent="0.2">
      <c r="B10" s="82" t="s">
        <v>127</v>
      </c>
      <c r="C10" s="107"/>
      <c r="D10" s="261">
        <v>1</v>
      </c>
      <c r="E10" s="85" t="s">
        <v>332</v>
      </c>
      <c r="F10" s="85">
        <v>95000</v>
      </c>
      <c r="G10" s="192">
        <v>0.3</v>
      </c>
      <c r="H10" s="87">
        <f t="shared" si="0"/>
        <v>123500</v>
      </c>
      <c r="I10" s="85" t="s">
        <v>129</v>
      </c>
      <c r="J10" s="87"/>
      <c r="K10" s="87"/>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91"/>
      <c r="BA10" s="91"/>
      <c r="BB10" s="91"/>
      <c r="BC10" s="91"/>
      <c r="BD10" s="91"/>
      <c r="BE10" s="91"/>
      <c r="BF10" s="91"/>
      <c r="BG10" s="91"/>
      <c r="BH10" s="91"/>
      <c r="BI10" s="91"/>
      <c r="BJ10" s="91"/>
      <c r="BK10" s="91"/>
      <c r="BL10" s="91"/>
    </row>
    <row r="11" spans="2:64" s="1" customFormat="1" x14ac:dyDescent="0.2">
      <c r="B11" s="82" t="s">
        <v>125</v>
      </c>
      <c r="C11" s="107"/>
      <c r="D11" s="261">
        <v>2</v>
      </c>
      <c r="E11" s="85" t="s">
        <v>332</v>
      </c>
      <c r="F11" s="85">
        <v>73000</v>
      </c>
      <c r="G11" s="192">
        <v>0.3</v>
      </c>
      <c r="H11" s="87">
        <f t="shared" si="0"/>
        <v>189800</v>
      </c>
      <c r="I11" s="85" t="s">
        <v>129</v>
      </c>
      <c r="J11" s="87"/>
      <c r="K11" s="87"/>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91"/>
      <c r="BA11" s="91"/>
      <c r="BB11" s="91"/>
      <c r="BC11" s="91"/>
      <c r="BD11" s="91"/>
      <c r="BE11" s="91"/>
      <c r="BF11" s="91"/>
      <c r="BG11" s="91"/>
      <c r="BH11" s="91"/>
      <c r="BI11" s="91"/>
      <c r="BJ11" s="91"/>
      <c r="BK11" s="91"/>
      <c r="BL11" s="91"/>
    </row>
    <row r="12" spans="2:64" s="1" customFormat="1" x14ac:dyDescent="0.2">
      <c r="B12" s="82" t="s">
        <v>138</v>
      </c>
      <c r="C12" s="107"/>
      <c r="D12" s="261">
        <v>1</v>
      </c>
      <c r="E12" s="85" t="s">
        <v>332</v>
      </c>
      <c r="F12" s="85">
        <v>55000</v>
      </c>
      <c r="G12" s="192">
        <v>0.3</v>
      </c>
      <c r="H12" s="87">
        <f t="shared" si="0"/>
        <v>71500</v>
      </c>
      <c r="I12" s="85" t="s">
        <v>129</v>
      </c>
      <c r="J12" s="87"/>
      <c r="K12" s="87"/>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91"/>
      <c r="BA12" s="91"/>
      <c r="BB12" s="91"/>
      <c r="BC12" s="91"/>
      <c r="BD12" s="91"/>
      <c r="BE12" s="91"/>
      <c r="BF12" s="91"/>
      <c r="BG12" s="91"/>
      <c r="BH12" s="91"/>
      <c r="BI12" s="91"/>
      <c r="BJ12" s="91"/>
      <c r="BK12" s="91"/>
      <c r="BL12" s="91"/>
    </row>
    <row r="13" spans="2:64" s="1" customFormat="1" x14ac:dyDescent="0.2">
      <c r="B13" s="82" t="s">
        <v>126</v>
      </c>
      <c r="C13" s="107"/>
      <c r="D13" s="261">
        <v>2</v>
      </c>
      <c r="E13" s="85" t="s">
        <v>332</v>
      </c>
      <c r="F13" s="85">
        <v>82000</v>
      </c>
      <c r="G13" s="192">
        <v>0.3</v>
      </c>
      <c r="H13" s="87">
        <f t="shared" si="0"/>
        <v>213200</v>
      </c>
      <c r="I13" s="85" t="s">
        <v>129</v>
      </c>
      <c r="J13" s="87"/>
      <c r="K13" s="87"/>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91"/>
      <c r="BA13" s="91"/>
      <c r="BB13" s="91"/>
      <c r="BC13" s="91"/>
      <c r="BD13" s="91"/>
      <c r="BE13" s="91"/>
      <c r="BF13" s="91"/>
      <c r="BG13" s="91"/>
      <c r="BH13" s="91"/>
      <c r="BI13" s="91"/>
      <c r="BJ13" s="91"/>
      <c r="BK13" s="91"/>
      <c r="BL13" s="91"/>
    </row>
    <row r="14" spans="2:64" s="1" customFormat="1" x14ac:dyDescent="0.2">
      <c r="B14" s="82" t="s">
        <v>139</v>
      </c>
      <c r="C14" s="107"/>
      <c r="D14" s="261">
        <v>1</v>
      </c>
      <c r="E14" s="85" t="s">
        <v>332</v>
      </c>
      <c r="F14" s="85">
        <v>68000</v>
      </c>
      <c r="G14" s="192">
        <v>0.3</v>
      </c>
      <c r="H14" s="87">
        <f t="shared" si="0"/>
        <v>88400</v>
      </c>
      <c r="I14" s="85" t="s">
        <v>129</v>
      </c>
      <c r="J14" s="87"/>
      <c r="K14" s="87"/>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91"/>
      <c r="BA14" s="91"/>
      <c r="BB14" s="91"/>
      <c r="BC14" s="91"/>
      <c r="BD14" s="91"/>
      <c r="BE14" s="91"/>
      <c r="BF14" s="91"/>
      <c r="BG14" s="91"/>
      <c r="BH14" s="91"/>
      <c r="BI14" s="91"/>
      <c r="BJ14" s="91"/>
      <c r="BK14" s="91"/>
      <c r="BL14" s="91"/>
    </row>
    <row r="15" spans="2:64" s="1" customFormat="1" x14ac:dyDescent="0.2">
      <c r="B15" s="82" t="s">
        <v>46</v>
      </c>
      <c r="C15" s="107"/>
      <c r="D15" s="261">
        <v>1</v>
      </c>
      <c r="E15" s="85" t="s">
        <v>332</v>
      </c>
      <c r="F15" s="85">
        <v>82000</v>
      </c>
      <c r="G15" s="192">
        <v>0.3</v>
      </c>
      <c r="H15" s="87">
        <f t="shared" si="0"/>
        <v>106600</v>
      </c>
      <c r="I15" s="85" t="s">
        <v>129</v>
      </c>
      <c r="J15" s="87"/>
      <c r="K15" s="87"/>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91"/>
      <c r="BA15" s="91"/>
      <c r="BB15" s="91"/>
      <c r="BC15" s="91"/>
      <c r="BD15" s="91"/>
      <c r="BE15" s="91"/>
      <c r="BF15" s="91"/>
      <c r="BG15" s="91"/>
      <c r="BH15" s="91"/>
      <c r="BI15" s="91"/>
      <c r="BJ15" s="91"/>
      <c r="BK15" s="91"/>
      <c r="BL15" s="91"/>
    </row>
    <row r="16" spans="2:64" s="1" customFormat="1" x14ac:dyDescent="0.2">
      <c r="B16" s="82" t="s">
        <v>95</v>
      </c>
      <c r="C16" s="107"/>
      <c r="D16" s="261">
        <v>2</v>
      </c>
      <c r="E16" s="85" t="s">
        <v>332</v>
      </c>
      <c r="F16" s="85">
        <v>77000</v>
      </c>
      <c r="G16" s="192">
        <v>0.3</v>
      </c>
      <c r="H16" s="87">
        <f t="shared" si="0"/>
        <v>200200</v>
      </c>
      <c r="I16" s="85" t="s">
        <v>129</v>
      </c>
      <c r="J16" s="87"/>
      <c r="K16" s="87"/>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91"/>
      <c r="BA16" s="91"/>
      <c r="BB16" s="91"/>
      <c r="BC16" s="91"/>
      <c r="BD16" s="91"/>
      <c r="BE16" s="91"/>
      <c r="BF16" s="91"/>
      <c r="BG16" s="91"/>
      <c r="BH16" s="91"/>
      <c r="BI16" s="91"/>
      <c r="BJ16" s="91"/>
      <c r="BK16" s="91"/>
      <c r="BL16" s="91"/>
    </row>
    <row r="17" spans="2:64" s="1" customFormat="1" x14ac:dyDescent="0.2">
      <c r="B17" s="143" t="s">
        <v>243</v>
      </c>
      <c r="C17" s="107"/>
      <c r="D17" s="261"/>
      <c r="E17" s="85"/>
      <c r="F17" s="85"/>
      <c r="G17" s="85"/>
      <c r="H17" s="157"/>
      <c r="I17" s="85"/>
      <c r="J17" s="87"/>
      <c r="K17" s="87"/>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91"/>
      <c r="BA17" s="91"/>
      <c r="BB17" s="91"/>
      <c r="BC17" s="91"/>
      <c r="BD17" s="91"/>
      <c r="BE17" s="91"/>
      <c r="BF17" s="91"/>
      <c r="BG17" s="91"/>
      <c r="BH17" s="91"/>
      <c r="BI17" s="91"/>
      <c r="BJ17" s="91"/>
      <c r="BK17" s="91"/>
      <c r="BL17" s="91"/>
    </row>
    <row r="18" spans="2:64" s="1" customFormat="1" x14ac:dyDescent="0.2">
      <c r="B18" s="82" t="s">
        <v>41</v>
      </c>
      <c r="C18" s="107"/>
      <c r="D18" s="261">
        <v>1</v>
      </c>
      <c r="E18" s="85" t="s">
        <v>332</v>
      </c>
      <c r="F18" s="193">
        <v>78000</v>
      </c>
      <c r="G18" s="192">
        <v>0.3</v>
      </c>
      <c r="H18" s="85">
        <f t="shared" ref="H18:H21" si="1">+D18*(1+G18)*F18</f>
        <v>101400</v>
      </c>
      <c r="I18" s="85" t="s">
        <v>141</v>
      </c>
      <c r="J18" s="87"/>
      <c r="K18" s="87"/>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91"/>
      <c r="BA18" s="91"/>
      <c r="BB18" s="91"/>
      <c r="BC18" s="91"/>
      <c r="BD18" s="91"/>
      <c r="BE18" s="91"/>
      <c r="BF18" s="91"/>
      <c r="BG18" s="91"/>
      <c r="BH18" s="91"/>
      <c r="BI18" s="91"/>
      <c r="BJ18" s="91"/>
      <c r="BK18" s="91"/>
      <c r="BL18" s="91"/>
    </row>
    <row r="19" spans="2:64" s="1" customFormat="1" x14ac:dyDescent="0.2">
      <c r="B19" s="82" t="s">
        <v>43</v>
      </c>
      <c r="C19" s="107"/>
      <c r="D19" s="261">
        <v>4</v>
      </c>
      <c r="E19" s="85" t="s">
        <v>332</v>
      </c>
      <c r="F19" s="193">
        <v>75000</v>
      </c>
      <c r="G19" s="192">
        <v>0.3</v>
      </c>
      <c r="H19" s="85">
        <f t="shared" si="1"/>
        <v>390000</v>
      </c>
      <c r="I19" s="85" t="s">
        <v>141</v>
      </c>
      <c r="J19" s="87"/>
      <c r="K19" s="87"/>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91"/>
      <c r="BA19" s="91"/>
      <c r="BB19" s="91"/>
      <c r="BC19" s="91"/>
      <c r="BD19" s="91"/>
      <c r="BE19" s="91"/>
      <c r="BF19" s="91"/>
      <c r="BG19" s="91"/>
      <c r="BH19" s="91"/>
      <c r="BI19" s="91"/>
      <c r="BJ19" s="91"/>
      <c r="BK19" s="91"/>
      <c r="BL19" s="91"/>
    </row>
    <row r="20" spans="2:64" s="1" customFormat="1" x14ac:dyDescent="0.2">
      <c r="B20" s="82" t="s">
        <v>140</v>
      </c>
      <c r="C20" s="107"/>
      <c r="D20" s="261">
        <v>1</v>
      </c>
      <c r="E20" s="85" t="s">
        <v>332</v>
      </c>
      <c r="F20" s="193">
        <v>47000</v>
      </c>
      <c r="G20" s="192">
        <v>0.3</v>
      </c>
      <c r="H20" s="85">
        <f t="shared" si="1"/>
        <v>61100</v>
      </c>
      <c r="I20" s="85" t="s">
        <v>141</v>
      </c>
      <c r="J20" s="87"/>
      <c r="K20" s="87"/>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91"/>
      <c r="BA20" s="91"/>
      <c r="BB20" s="91"/>
      <c r="BC20" s="91"/>
      <c r="BD20" s="91"/>
      <c r="BE20" s="91"/>
      <c r="BF20" s="91"/>
      <c r="BG20" s="91"/>
      <c r="BH20" s="91"/>
      <c r="BI20" s="91"/>
      <c r="BJ20" s="91"/>
      <c r="BK20" s="91"/>
      <c r="BL20" s="91"/>
    </row>
    <row r="21" spans="2:64" s="1" customFormat="1" x14ac:dyDescent="0.2">
      <c r="B21" s="82" t="s">
        <v>4</v>
      </c>
      <c r="C21" s="107"/>
      <c r="D21" s="261">
        <v>1</v>
      </c>
      <c r="E21" s="85" t="s">
        <v>332</v>
      </c>
      <c r="F21" s="193">
        <v>83000</v>
      </c>
      <c r="G21" s="192">
        <v>0.3</v>
      </c>
      <c r="H21" s="85">
        <f t="shared" si="1"/>
        <v>107900</v>
      </c>
      <c r="I21" s="85" t="s">
        <v>141</v>
      </c>
      <c r="J21" s="87"/>
      <c r="K21" s="87"/>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91"/>
      <c r="BA21" s="91"/>
      <c r="BB21" s="91"/>
      <c r="BC21" s="91"/>
      <c r="BD21" s="91"/>
      <c r="BE21" s="91"/>
      <c r="BF21" s="91"/>
      <c r="BG21" s="91"/>
      <c r="BH21" s="91"/>
      <c r="BI21" s="91"/>
      <c r="BJ21" s="91"/>
      <c r="BK21" s="91"/>
      <c r="BL21" s="91"/>
    </row>
    <row r="22" spans="2:64" s="1" customFormat="1" x14ac:dyDescent="0.2">
      <c r="B22" s="82" t="s">
        <v>131</v>
      </c>
      <c r="C22" s="107" t="s">
        <v>351</v>
      </c>
      <c r="D22" s="261">
        <v>1</v>
      </c>
      <c r="E22" s="265" t="s">
        <v>348</v>
      </c>
      <c r="F22" s="85"/>
      <c r="G22" s="85"/>
      <c r="H22" s="85">
        <v>70000</v>
      </c>
      <c r="I22" s="85"/>
      <c r="J22" s="85" t="s">
        <v>130</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2:64" s="1" customFormat="1" x14ac:dyDescent="0.2">
      <c r="B23" s="82"/>
      <c r="C23" s="107"/>
      <c r="D23" s="261"/>
      <c r="E23" s="85"/>
      <c r="F23" s="193"/>
      <c r="G23" s="270"/>
      <c r="H23" s="85"/>
      <c r="I23" s="193"/>
      <c r="J23" s="87"/>
      <c r="K23" s="87"/>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91"/>
      <c r="BA23" s="91"/>
      <c r="BB23" s="91"/>
      <c r="BC23" s="91"/>
      <c r="BD23" s="91"/>
      <c r="BE23" s="91"/>
      <c r="BF23" s="91"/>
      <c r="BG23" s="91"/>
      <c r="BH23" s="91"/>
      <c r="BI23" s="91"/>
      <c r="BJ23" s="91"/>
      <c r="BK23" s="91"/>
      <c r="BL23" s="91"/>
    </row>
    <row r="24" spans="2:64" s="1" customFormat="1" x14ac:dyDescent="0.2">
      <c r="B24" s="147" t="s">
        <v>184</v>
      </c>
      <c r="C24" s="116"/>
      <c r="D24" s="262">
        <f>SUM(D6:D22)</f>
        <v>39</v>
      </c>
      <c r="E24" s="145"/>
      <c r="F24" s="194"/>
      <c r="G24" s="133"/>
      <c r="H24" s="117">
        <f>SUM(H5:H21)</f>
        <v>3741400</v>
      </c>
      <c r="I24" s="133"/>
      <c r="J24" s="114"/>
      <c r="K24" s="114"/>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91"/>
      <c r="BA24" s="91"/>
      <c r="BB24" s="91"/>
      <c r="BC24" s="91"/>
      <c r="BD24" s="91"/>
      <c r="BE24" s="91"/>
      <c r="BF24" s="91"/>
      <c r="BG24" s="91"/>
      <c r="BH24" s="91"/>
      <c r="BI24" s="91"/>
      <c r="BJ24" s="91"/>
      <c r="BK24" s="91"/>
      <c r="BL24" s="91"/>
    </row>
    <row r="25" spans="2:64" s="1" customFormat="1" ht="25.5" x14ac:dyDescent="0.2">
      <c r="B25" s="195" t="s">
        <v>217</v>
      </c>
      <c r="C25" s="144"/>
      <c r="D25" s="193"/>
      <c r="E25" s="85"/>
      <c r="F25" s="182" t="s">
        <v>202</v>
      </c>
      <c r="G25" s="183" t="s">
        <v>196</v>
      </c>
      <c r="H25" s="157"/>
      <c r="I25" s="85"/>
      <c r="J25" s="87"/>
      <c r="K25" s="87"/>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91"/>
      <c r="BA25" s="91"/>
      <c r="BB25" s="91"/>
      <c r="BC25" s="91"/>
      <c r="BD25" s="91"/>
      <c r="BE25" s="91"/>
      <c r="BF25" s="91"/>
      <c r="BG25" s="91"/>
      <c r="BH25" s="91"/>
      <c r="BI25" s="91"/>
      <c r="BJ25" s="91"/>
      <c r="BK25" s="91"/>
      <c r="BL25" s="91"/>
    </row>
    <row r="26" spans="2:64" s="1" customFormat="1" x14ac:dyDescent="0.2">
      <c r="B26" s="82" t="s">
        <v>35</v>
      </c>
      <c r="C26" s="80"/>
      <c r="D26" s="263">
        <v>3</v>
      </c>
      <c r="E26" s="85" t="s">
        <v>349</v>
      </c>
      <c r="F26" s="85">
        <v>42000</v>
      </c>
      <c r="G26" s="151">
        <v>5</v>
      </c>
      <c r="H26" s="85">
        <f>+D26*F26/G26</f>
        <v>25200</v>
      </c>
      <c r="I26" s="85" t="s">
        <v>143</v>
      </c>
      <c r="J26" s="87"/>
      <c r="K26" s="87"/>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91"/>
      <c r="BA26" s="91"/>
      <c r="BB26" s="91"/>
      <c r="BC26" s="91"/>
      <c r="BD26" s="91"/>
      <c r="BE26" s="91"/>
      <c r="BF26" s="91"/>
      <c r="BG26" s="91"/>
      <c r="BH26" s="91"/>
      <c r="BI26" s="91"/>
      <c r="BJ26" s="91"/>
      <c r="BK26" s="91"/>
      <c r="BL26" s="91"/>
    </row>
    <row r="27" spans="2:64" s="1" customFormat="1" x14ac:dyDescent="0.2">
      <c r="B27" s="82" t="s">
        <v>32</v>
      </c>
      <c r="C27" s="80"/>
      <c r="D27" s="263">
        <v>3</v>
      </c>
      <c r="E27" s="85" t="s">
        <v>349</v>
      </c>
      <c r="F27" s="85">
        <v>40000</v>
      </c>
      <c r="G27" s="151">
        <v>5</v>
      </c>
      <c r="H27" s="85">
        <f t="shared" ref="H27:H33" si="2">+D27*F27/G27</f>
        <v>24000</v>
      </c>
      <c r="I27" s="85" t="s">
        <v>143</v>
      </c>
      <c r="J27" s="87"/>
      <c r="K27" s="87"/>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91"/>
      <c r="BA27" s="91"/>
      <c r="BB27" s="91"/>
      <c r="BC27" s="91"/>
      <c r="BD27" s="91"/>
      <c r="BE27" s="91"/>
      <c r="BF27" s="91"/>
      <c r="BG27" s="91"/>
      <c r="BH27" s="91"/>
      <c r="BI27" s="91"/>
      <c r="BJ27" s="91"/>
      <c r="BK27" s="91"/>
      <c r="BL27" s="91"/>
    </row>
    <row r="28" spans="2:64" s="1" customFormat="1" x14ac:dyDescent="0.2">
      <c r="B28" s="82" t="s">
        <v>31</v>
      </c>
      <c r="C28" s="80"/>
      <c r="D28" s="263">
        <v>3</v>
      </c>
      <c r="E28" s="85" t="s">
        <v>349</v>
      </c>
      <c r="F28" s="85">
        <v>75000</v>
      </c>
      <c r="G28" s="151">
        <v>8</v>
      </c>
      <c r="H28" s="85">
        <f t="shared" si="2"/>
        <v>28125</v>
      </c>
      <c r="I28" s="193" t="s">
        <v>143</v>
      </c>
      <c r="J28" s="87"/>
      <c r="K28" s="212" t="s">
        <v>190</v>
      </c>
      <c r="L28" s="210">
        <f>+H24</f>
        <v>3741400</v>
      </c>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91"/>
      <c r="BA28" s="91"/>
      <c r="BB28" s="91"/>
      <c r="BC28" s="91"/>
      <c r="BD28" s="91"/>
      <c r="BE28" s="91"/>
      <c r="BF28" s="91"/>
      <c r="BG28" s="91"/>
      <c r="BH28" s="91"/>
      <c r="BI28" s="91"/>
      <c r="BJ28" s="91"/>
      <c r="BK28" s="91"/>
      <c r="BL28" s="91"/>
    </row>
    <row r="29" spans="2:64" s="1" customFormat="1" x14ac:dyDescent="0.2">
      <c r="B29" s="82" t="s">
        <v>0</v>
      </c>
      <c r="C29" s="80"/>
      <c r="D29" s="263">
        <v>3</v>
      </c>
      <c r="E29" s="85" t="s">
        <v>349</v>
      </c>
      <c r="F29" s="193">
        <v>150000</v>
      </c>
      <c r="G29" s="156">
        <v>10</v>
      </c>
      <c r="H29" s="85">
        <f t="shared" si="2"/>
        <v>45000</v>
      </c>
      <c r="I29" s="193" t="s">
        <v>143</v>
      </c>
      <c r="J29" s="87"/>
      <c r="K29" s="212" t="s">
        <v>217</v>
      </c>
      <c r="L29" s="210">
        <f>+H35</f>
        <v>415325</v>
      </c>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91"/>
      <c r="BA29" s="91"/>
      <c r="BB29" s="91"/>
      <c r="BC29" s="91"/>
      <c r="BD29" s="91"/>
      <c r="BE29" s="91"/>
      <c r="BF29" s="91"/>
      <c r="BG29" s="91"/>
      <c r="BH29" s="91"/>
      <c r="BI29" s="91"/>
      <c r="BJ29" s="91"/>
      <c r="BK29" s="91"/>
      <c r="BL29" s="91"/>
    </row>
    <row r="30" spans="2:64" s="1" customFormat="1" x14ac:dyDescent="0.2">
      <c r="B30" s="82" t="s">
        <v>238</v>
      </c>
      <c r="C30" s="80"/>
      <c r="D30" s="263">
        <v>3</v>
      </c>
      <c r="E30" s="85" t="s">
        <v>349</v>
      </c>
      <c r="F30" s="193">
        <v>150000</v>
      </c>
      <c r="G30" s="156">
        <v>10</v>
      </c>
      <c r="H30" s="85">
        <f t="shared" si="2"/>
        <v>45000</v>
      </c>
      <c r="I30" s="193" t="s">
        <v>143</v>
      </c>
      <c r="J30" s="87"/>
      <c r="K30" s="212" t="s">
        <v>186</v>
      </c>
      <c r="L30" s="210">
        <f>+H47</f>
        <v>1879045.7142857143</v>
      </c>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91"/>
      <c r="BA30" s="91"/>
      <c r="BB30" s="91"/>
      <c r="BC30" s="91"/>
      <c r="BD30" s="91"/>
      <c r="BE30" s="91"/>
      <c r="BF30" s="91"/>
      <c r="BG30" s="91"/>
      <c r="BH30" s="91"/>
      <c r="BI30" s="91"/>
      <c r="BJ30" s="91"/>
      <c r="BK30" s="91"/>
      <c r="BL30" s="91"/>
    </row>
    <row r="31" spans="2:64" s="1" customFormat="1" x14ac:dyDescent="0.2">
      <c r="B31" s="82" t="s">
        <v>30</v>
      </c>
      <c r="C31" s="80"/>
      <c r="D31" s="263">
        <v>3</v>
      </c>
      <c r="E31" s="85" t="s">
        <v>349</v>
      </c>
      <c r="F31" s="85">
        <v>250000</v>
      </c>
      <c r="G31" s="151">
        <v>15</v>
      </c>
      <c r="H31" s="85">
        <f t="shared" si="2"/>
        <v>50000</v>
      </c>
      <c r="I31" s="193" t="s">
        <v>143</v>
      </c>
      <c r="J31" s="87"/>
      <c r="K31" s="212" t="s">
        <v>302</v>
      </c>
      <c r="L31" s="210">
        <f>+H53</f>
        <v>400000</v>
      </c>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91"/>
      <c r="BA31" s="91"/>
      <c r="BB31" s="91"/>
      <c r="BC31" s="91"/>
      <c r="BD31" s="91"/>
      <c r="BE31" s="91"/>
      <c r="BF31" s="91"/>
      <c r="BG31" s="91"/>
      <c r="BH31" s="91"/>
      <c r="BI31" s="91"/>
      <c r="BJ31" s="91"/>
      <c r="BK31" s="91"/>
      <c r="BL31" s="91"/>
    </row>
    <row r="32" spans="2:64" s="1" customFormat="1" x14ac:dyDescent="0.2">
      <c r="B32" s="82" t="s">
        <v>191</v>
      </c>
      <c r="C32" s="80"/>
      <c r="D32" s="263">
        <v>8</v>
      </c>
      <c r="E32" s="85" t="s">
        <v>349</v>
      </c>
      <c r="F32" s="85">
        <v>15000</v>
      </c>
      <c r="G32" s="151">
        <v>5</v>
      </c>
      <c r="H32" s="85">
        <f t="shared" si="2"/>
        <v>24000</v>
      </c>
      <c r="I32" s="85" t="s">
        <v>143</v>
      </c>
      <c r="J32" s="87"/>
      <c r="K32" s="212" t="s">
        <v>301</v>
      </c>
      <c r="L32" s="210">
        <f>+H62</f>
        <v>4761064</v>
      </c>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91"/>
      <c r="BA32" s="91"/>
      <c r="BB32" s="91"/>
      <c r="BC32" s="91"/>
      <c r="BD32" s="91"/>
      <c r="BE32" s="91"/>
      <c r="BF32" s="91"/>
      <c r="BG32" s="91"/>
      <c r="BH32" s="91"/>
      <c r="BI32" s="91"/>
      <c r="BJ32" s="91"/>
      <c r="BK32" s="91"/>
      <c r="BL32" s="91"/>
    </row>
    <row r="33" spans="2:64" s="1" customFormat="1" x14ac:dyDescent="0.2">
      <c r="B33" s="82" t="s">
        <v>53</v>
      </c>
      <c r="C33" s="80"/>
      <c r="D33" s="263">
        <v>8</v>
      </c>
      <c r="E33" s="85" t="s">
        <v>349</v>
      </c>
      <c r="F33" s="85">
        <v>15000</v>
      </c>
      <c r="G33" s="151">
        <v>5</v>
      </c>
      <c r="H33" s="85">
        <f t="shared" si="2"/>
        <v>24000</v>
      </c>
      <c r="I33" s="85" t="s">
        <v>143</v>
      </c>
      <c r="J33" s="87"/>
      <c r="K33" s="212" t="s">
        <v>300</v>
      </c>
      <c r="L33" s="210">
        <f>+H63</f>
        <v>1546764.0185</v>
      </c>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91"/>
      <c r="BA33" s="91"/>
      <c r="BB33" s="91"/>
      <c r="BC33" s="91"/>
      <c r="BD33" s="91"/>
      <c r="BE33" s="91"/>
      <c r="BF33" s="91"/>
      <c r="BG33" s="91"/>
      <c r="BH33" s="91"/>
      <c r="BI33" s="91"/>
      <c r="BJ33" s="91"/>
      <c r="BK33" s="91"/>
      <c r="BL33" s="91"/>
    </row>
    <row r="34" spans="2:64" s="1" customFormat="1" x14ac:dyDescent="0.2">
      <c r="B34" s="82" t="s">
        <v>132</v>
      </c>
      <c r="C34" s="80"/>
      <c r="D34" s="193"/>
      <c r="E34" s="85"/>
      <c r="F34" s="85"/>
      <c r="G34" s="151"/>
      <c r="H34" s="157">
        <v>150000</v>
      </c>
      <c r="I34" s="85"/>
      <c r="J34" s="87"/>
      <c r="K34" s="212" t="s">
        <v>296</v>
      </c>
      <c r="L34" s="210">
        <f>+H65</f>
        <v>1679525.2071428571</v>
      </c>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91"/>
      <c r="BA34" s="91"/>
      <c r="BB34" s="91"/>
      <c r="BC34" s="91"/>
      <c r="BD34" s="91"/>
      <c r="BE34" s="91"/>
      <c r="BF34" s="91"/>
      <c r="BG34" s="91"/>
      <c r="BH34" s="91"/>
      <c r="BI34" s="91"/>
      <c r="BJ34" s="91"/>
      <c r="BK34" s="91"/>
      <c r="BL34" s="91"/>
    </row>
    <row r="35" spans="2:64" s="1" customFormat="1" x14ac:dyDescent="0.2">
      <c r="B35" s="147" t="s">
        <v>184</v>
      </c>
      <c r="C35" s="80"/>
      <c r="D35" s="271">
        <f>SUM(D26:D33)</f>
        <v>34</v>
      </c>
      <c r="E35" s="117"/>
      <c r="F35" s="117"/>
      <c r="G35" s="117"/>
      <c r="H35" s="196">
        <f>SUM(H26:H34)</f>
        <v>415325</v>
      </c>
      <c r="I35" s="117"/>
      <c r="J35" s="114"/>
      <c r="K35" s="213"/>
      <c r="L35" s="211"/>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91"/>
      <c r="BA35" s="91"/>
      <c r="BB35" s="91"/>
      <c r="BC35" s="91"/>
      <c r="BD35" s="91"/>
      <c r="BE35" s="91"/>
      <c r="BF35" s="91"/>
      <c r="BG35" s="91"/>
      <c r="BH35" s="91"/>
      <c r="BI35" s="91"/>
      <c r="BJ35" s="91"/>
      <c r="BK35" s="91"/>
      <c r="BL35" s="91"/>
    </row>
    <row r="36" spans="2:64" s="1" customFormat="1" x14ac:dyDescent="0.2">
      <c r="B36" s="150" t="s">
        <v>186</v>
      </c>
      <c r="C36" s="153"/>
      <c r="D36" s="193"/>
      <c r="E36" s="85"/>
      <c r="F36" s="182" t="s">
        <v>202</v>
      </c>
      <c r="G36" s="183"/>
      <c r="H36" s="157"/>
      <c r="I36" s="85"/>
      <c r="J36" s="87"/>
      <c r="K36" s="87"/>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91"/>
      <c r="BA36" s="91"/>
      <c r="BB36" s="91"/>
      <c r="BC36" s="91"/>
      <c r="BD36" s="91"/>
      <c r="BE36" s="91"/>
      <c r="BF36" s="91"/>
      <c r="BG36" s="91"/>
      <c r="BH36" s="91"/>
      <c r="BI36" s="91"/>
      <c r="BJ36" s="91"/>
      <c r="BK36" s="91"/>
      <c r="BL36" s="91"/>
    </row>
    <row r="37" spans="2:64" s="1" customFormat="1" x14ac:dyDescent="0.2">
      <c r="B37" s="82" t="s">
        <v>222</v>
      </c>
      <c r="C37" s="80"/>
      <c r="D37" s="261">
        <f>+(1100+(2*263))/3500*230*1.5</f>
        <v>160.27714285714285</v>
      </c>
      <c r="E37" s="85" t="s">
        <v>142</v>
      </c>
      <c r="F37" s="85">
        <v>1500</v>
      </c>
      <c r="G37" s="85"/>
      <c r="H37" s="157">
        <f>+F37*D37</f>
        <v>240415.71428571426</v>
      </c>
      <c r="I37" s="85" t="s">
        <v>133</v>
      </c>
      <c r="J37" s="87"/>
      <c r="K37" s="87"/>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91"/>
      <c r="BA37" s="91"/>
      <c r="BB37" s="91"/>
      <c r="BC37" s="91"/>
      <c r="BD37" s="91"/>
      <c r="BE37" s="91"/>
      <c r="BF37" s="91"/>
      <c r="BG37" s="91"/>
      <c r="BH37" s="91"/>
      <c r="BI37" s="91"/>
      <c r="BJ37" s="91"/>
      <c r="BK37" s="91"/>
      <c r="BL37" s="91"/>
    </row>
    <row r="38" spans="2:64" s="1" customFormat="1" x14ac:dyDescent="0.2">
      <c r="B38" s="82" t="s">
        <v>239</v>
      </c>
      <c r="C38" s="80"/>
      <c r="D38" s="272">
        <f>(1095*1000*60)/10000*0.1*0.84</f>
        <v>551.88</v>
      </c>
      <c r="E38" s="85" t="s">
        <v>36</v>
      </c>
      <c r="F38" s="85">
        <v>750</v>
      </c>
      <c r="H38" s="157">
        <f t="shared" ref="H38:H45" si="3">+F38*D38</f>
        <v>413910</v>
      </c>
      <c r="I38" s="85" t="s">
        <v>92</v>
      </c>
      <c r="J38" s="87"/>
      <c r="K38" s="87"/>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91"/>
      <c r="BA38" s="91"/>
      <c r="BB38" s="91"/>
      <c r="BC38" s="91"/>
      <c r="BD38" s="91"/>
      <c r="BE38" s="91"/>
      <c r="BF38" s="91"/>
      <c r="BG38" s="91"/>
      <c r="BH38" s="91"/>
      <c r="BI38" s="91"/>
      <c r="BJ38" s="91"/>
      <c r="BK38" s="91"/>
      <c r="BL38" s="91"/>
    </row>
    <row r="39" spans="2:64" s="1" customFormat="1" x14ac:dyDescent="0.2">
      <c r="B39" s="82" t="s">
        <v>240</v>
      </c>
      <c r="C39" s="80"/>
      <c r="D39" s="272">
        <f>(1095*1000*60)/10000*0.1*0.16</f>
        <v>105.12</v>
      </c>
      <c r="E39" s="85" t="s">
        <v>36</v>
      </c>
      <c r="F39" s="85">
        <v>2100</v>
      </c>
      <c r="H39" s="157">
        <f t="shared" si="3"/>
        <v>220752</v>
      </c>
      <c r="I39" s="85" t="s">
        <v>92</v>
      </c>
      <c r="J39" s="87"/>
      <c r="K39" s="87"/>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91"/>
      <c r="BA39" s="91"/>
      <c r="BB39" s="91"/>
      <c r="BC39" s="91"/>
      <c r="BD39" s="91"/>
      <c r="BE39" s="91"/>
      <c r="BF39" s="91"/>
      <c r="BG39" s="91"/>
      <c r="BH39" s="91"/>
      <c r="BI39" s="91"/>
      <c r="BJ39" s="91"/>
      <c r="BK39" s="91"/>
      <c r="BL39" s="91"/>
    </row>
    <row r="40" spans="2:64" s="1" customFormat="1" x14ac:dyDescent="0.2">
      <c r="B40" s="82" t="s">
        <v>135</v>
      </c>
      <c r="C40" s="80"/>
      <c r="D40" s="272">
        <f>(1095*1000*60)/10000*0.2*0.16*0.25</f>
        <v>52.56</v>
      </c>
      <c r="E40" s="85" t="s">
        <v>36</v>
      </c>
      <c r="F40" s="85">
        <v>2800</v>
      </c>
      <c r="H40" s="157">
        <f t="shared" si="3"/>
        <v>147168</v>
      </c>
      <c r="I40" s="85" t="s">
        <v>93</v>
      </c>
      <c r="J40" s="87"/>
      <c r="K40" s="87"/>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91"/>
      <c r="BA40" s="91"/>
      <c r="BB40" s="91"/>
      <c r="BC40" s="91"/>
      <c r="BD40" s="91"/>
      <c r="BE40" s="91"/>
      <c r="BF40" s="91"/>
      <c r="BG40" s="91"/>
      <c r="BH40" s="91"/>
      <c r="BI40" s="91"/>
      <c r="BJ40" s="91"/>
      <c r="BK40" s="91"/>
      <c r="BL40" s="91"/>
    </row>
    <row r="41" spans="2:64" s="1" customFormat="1" x14ac:dyDescent="0.2">
      <c r="B41" s="82" t="s">
        <v>25</v>
      </c>
      <c r="C41" s="80"/>
      <c r="D41" s="261">
        <v>1000</v>
      </c>
      <c r="E41" s="85" t="s">
        <v>142</v>
      </c>
      <c r="F41" s="85">
        <v>300</v>
      </c>
      <c r="G41" s="85"/>
      <c r="H41" s="157">
        <f t="shared" si="3"/>
        <v>300000</v>
      </c>
      <c r="I41" s="85" t="s">
        <v>134</v>
      </c>
      <c r="J41" s="197"/>
      <c r="K41" s="87"/>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91"/>
      <c r="BA41" s="91"/>
      <c r="BB41" s="91"/>
      <c r="BC41" s="91"/>
      <c r="BD41" s="91"/>
      <c r="BE41" s="91"/>
      <c r="BF41" s="91"/>
      <c r="BG41" s="91"/>
      <c r="BH41" s="91"/>
      <c r="BI41" s="91"/>
      <c r="BJ41" s="91"/>
      <c r="BK41" s="91"/>
      <c r="BL41" s="91"/>
    </row>
    <row r="42" spans="2:64" s="1" customFormat="1" x14ac:dyDescent="0.2">
      <c r="B42" s="82" t="s">
        <v>257</v>
      </c>
      <c r="C42" s="80"/>
      <c r="D42" s="261">
        <v>1</v>
      </c>
      <c r="E42" s="85" t="s">
        <v>350</v>
      </c>
      <c r="F42" s="157">
        <v>400000</v>
      </c>
      <c r="G42" s="198"/>
      <c r="H42" s="157">
        <f>2*150000+2*50000</f>
        <v>400000</v>
      </c>
      <c r="I42" s="85" t="s">
        <v>111</v>
      </c>
      <c r="J42" s="197"/>
      <c r="K42" s="87"/>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91"/>
      <c r="BA42" s="91"/>
      <c r="BB42" s="91"/>
      <c r="BC42" s="91"/>
      <c r="BD42" s="91"/>
      <c r="BE42" s="91"/>
      <c r="BF42" s="91"/>
      <c r="BG42" s="91"/>
      <c r="BH42" s="91"/>
      <c r="BI42" s="91"/>
      <c r="BJ42" s="91"/>
      <c r="BK42" s="91"/>
      <c r="BL42" s="91"/>
    </row>
    <row r="43" spans="2:64" s="1" customFormat="1" x14ac:dyDescent="0.2">
      <c r="B43" s="82" t="s">
        <v>26</v>
      </c>
      <c r="C43" s="80"/>
      <c r="D43" s="261">
        <v>250</v>
      </c>
      <c r="E43" s="85" t="s">
        <v>142</v>
      </c>
      <c r="F43" s="85">
        <v>120</v>
      </c>
      <c r="G43" s="85"/>
      <c r="H43" s="157">
        <f t="shared" si="3"/>
        <v>30000</v>
      </c>
      <c r="I43" s="85" t="s">
        <v>99</v>
      </c>
      <c r="J43" s="87"/>
      <c r="K43" s="87"/>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91"/>
      <c r="BA43" s="91"/>
      <c r="BB43" s="91"/>
      <c r="BC43" s="91"/>
      <c r="BD43" s="91"/>
      <c r="BE43" s="91"/>
      <c r="BF43" s="91"/>
      <c r="BG43" s="91"/>
      <c r="BH43" s="91"/>
      <c r="BI43" s="91"/>
      <c r="BJ43" s="91"/>
      <c r="BK43" s="91"/>
      <c r="BL43" s="91"/>
    </row>
    <row r="44" spans="2:64" s="1" customFormat="1" x14ac:dyDescent="0.2">
      <c r="B44" s="82" t="s">
        <v>27</v>
      </c>
      <c r="C44" s="80"/>
      <c r="D44" s="261">
        <v>240</v>
      </c>
      <c r="E44" s="85" t="s">
        <v>142</v>
      </c>
      <c r="F44" s="85">
        <v>120</v>
      </c>
      <c r="G44" s="85"/>
      <c r="H44" s="157">
        <f t="shared" si="3"/>
        <v>28800</v>
      </c>
      <c r="I44" s="85" t="s">
        <v>100</v>
      </c>
      <c r="J44" s="87"/>
      <c r="K44" s="87"/>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91"/>
      <c r="BA44" s="91"/>
      <c r="BB44" s="91"/>
      <c r="BC44" s="91"/>
      <c r="BD44" s="91"/>
      <c r="BE44" s="91"/>
      <c r="BF44" s="91"/>
      <c r="BG44" s="91"/>
      <c r="BH44" s="91"/>
      <c r="BI44" s="91"/>
      <c r="BJ44" s="91"/>
      <c r="BK44" s="91"/>
      <c r="BL44" s="91"/>
    </row>
    <row r="45" spans="2:64" s="1" customFormat="1" x14ac:dyDescent="0.2">
      <c r="B45" s="82" t="s">
        <v>29</v>
      </c>
      <c r="C45" s="80"/>
      <c r="D45" s="261">
        <v>160</v>
      </c>
      <c r="E45" s="85" t="s">
        <v>142</v>
      </c>
      <c r="F45" s="85">
        <v>300</v>
      </c>
      <c r="G45" s="85"/>
      <c r="H45" s="157">
        <f t="shared" si="3"/>
        <v>48000</v>
      </c>
      <c r="I45" s="85" t="s">
        <v>241</v>
      </c>
      <c r="J45" s="87"/>
      <c r="K45" s="87"/>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91"/>
      <c r="BA45" s="91"/>
      <c r="BB45" s="91"/>
      <c r="BC45" s="91"/>
      <c r="BD45" s="91"/>
      <c r="BE45" s="91"/>
      <c r="BF45" s="91"/>
      <c r="BG45" s="91"/>
      <c r="BH45" s="91"/>
      <c r="BI45" s="91"/>
      <c r="BJ45" s="91"/>
      <c r="BK45" s="91"/>
      <c r="BL45" s="91"/>
    </row>
    <row r="46" spans="2:64" s="1" customFormat="1" x14ac:dyDescent="0.2">
      <c r="B46" s="82" t="s">
        <v>275</v>
      </c>
      <c r="C46" s="80"/>
      <c r="D46" s="156"/>
      <c r="E46" s="85"/>
      <c r="F46" s="85"/>
      <c r="G46" s="85"/>
      <c r="H46" s="157">
        <v>50000</v>
      </c>
      <c r="I46" s="85"/>
      <c r="J46" s="87"/>
      <c r="K46" s="87"/>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91"/>
      <c r="BA46" s="91"/>
      <c r="BB46" s="91"/>
      <c r="BC46" s="91"/>
      <c r="BD46" s="91"/>
      <c r="BE46" s="91"/>
      <c r="BF46" s="91"/>
      <c r="BG46" s="91"/>
      <c r="BH46" s="91"/>
      <c r="BI46" s="91"/>
      <c r="BJ46" s="91"/>
      <c r="BK46" s="91"/>
      <c r="BL46" s="91"/>
    </row>
    <row r="47" spans="2:64" s="1" customFormat="1" x14ac:dyDescent="0.2">
      <c r="B47" s="147" t="s">
        <v>184</v>
      </c>
      <c r="C47" s="116"/>
      <c r="D47" s="199"/>
      <c r="E47" s="117"/>
      <c r="F47" s="117"/>
      <c r="G47" s="117"/>
      <c r="H47" s="196">
        <f>SUM(H36:H46)</f>
        <v>1879045.7142857143</v>
      </c>
      <c r="I47" s="117"/>
      <c r="J47" s="114"/>
      <c r="K47" s="114"/>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91"/>
      <c r="BA47" s="91"/>
      <c r="BB47" s="91"/>
      <c r="BC47" s="91"/>
      <c r="BD47" s="91"/>
      <c r="BE47" s="91"/>
      <c r="BF47" s="91"/>
      <c r="BG47" s="91"/>
      <c r="BH47" s="91"/>
      <c r="BI47" s="91"/>
      <c r="BJ47" s="91"/>
      <c r="BK47" s="91"/>
      <c r="BL47" s="91"/>
    </row>
    <row r="48" spans="2:64" s="1" customFormat="1" ht="14.25" customHeight="1" x14ac:dyDescent="0.2">
      <c r="B48" s="143" t="s">
        <v>245</v>
      </c>
      <c r="C48" s="80"/>
      <c r="D48" s="193"/>
      <c r="E48" s="85"/>
      <c r="F48" s="85"/>
      <c r="G48" s="85"/>
      <c r="H48" s="157"/>
      <c r="I48" s="85"/>
      <c r="J48" s="87"/>
      <c r="K48" s="87"/>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91"/>
      <c r="BA48" s="91"/>
      <c r="BB48" s="91"/>
      <c r="BC48" s="91"/>
      <c r="BD48" s="91"/>
      <c r="BE48" s="91"/>
      <c r="BF48" s="91"/>
      <c r="BG48" s="91"/>
      <c r="BH48" s="91"/>
      <c r="BI48" s="91"/>
      <c r="BJ48" s="91"/>
      <c r="BK48" s="91"/>
      <c r="BL48" s="91"/>
    </row>
    <row r="49" spans="2:64" s="1" customFormat="1" ht="14.25" customHeight="1" x14ac:dyDescent="0.2">
      <c r="B49" s="82" t="s">
        <v>246</v>
      </c>
      <c r="C49" s="80"/>
      <c r="D49" s="193"/>
      <c r="E49" s="85"/>
      <c r="F49" s="85"/>
      <c r="G49" s="85"/>
      <c r="H49" s="157">
        <v>50000</v>
      </c>
      <c r="I49" s="85" t="s">
        <v>121</v>
      </c>
      <c r="J49" s="87"/>
      <c r="K49" s="87"/>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91"/>
      <c r="BA49" s="91"/>
      <c r="BB49" s="91"/>
      <c r="BC49" s="91"/>
      <c r="BD49" s="91"/>
      <c r="BE49" s="91"/>
      <c r="BF49" s="91"/>
      <c r="BG49" s="91"/>
      <c r="BH49" s="91"/>
      <c r="BI49" s="91"/>
      <c r="BJ49" s="91"/>
      <c r="BK49" s="91"/>
      <c r="BL49" s="91"/>
    </row>
    <row r="50" spans="2:64" s="1" customFormat="1" x14ac:dyDescent="0.2">
      <c r="B50" s="82" t="s">
        <v>247</v>
      </c>
      <c r="C50" s="80" t="s">
        <v>297</v>
      </c>
      <c r="D50" s="156" t="s">
        <v>145</v>
      </c>
      <c r="E50" s="85" t="s">
        <v>145</v>
      </c>
      <c r="F50" s="85" t="s">
        <v>145</v>
      </c>
      <c r="G50" s="85"/>
      <c r="H50" s="275" t="s">
        <v>330</v>
      </c>
      <c r="I50" s="85"/>
      <c r="J50" s="87"/>
      <c r="K50" s="87"/>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91"/>
      <c r="BA50" s="91"/>
      <c r="BB50" s="91"/>
      <c r="BC50" s="91"/>
      <c r="BD50" s="91"/>
      <c r="BE50" s="91"/>
      <c r="BF50" s="91"/>
      <c r="BG50" s="91"/>
      <c r="BH50" s="91"/>
      <c r="BI50" s="91"/>
      <c r="BJ50" s="91"/>
      <c r="BK50" s="91"/>
      <c r="BL50" s="91"/>
    </row>
    <row r="51" spans="2:64" s="1" customFormat="1" x14ac:dyDescent="0.2">
      <c r="B51" s="82" t="s">
        <v>250</v>
      </c>
      <c r="C51" s="80"/>
      <c r="D51" s="200"/>
      <c r="E51" s="201"/>
      <c r="F51" s="201"/>
      <c r="G51" s="201"/>
      <c r="H51" s="202">
        <v>250000</v>
      </c>
      <c r="I51" s="151" t="s">
        <v>103</v>
      </c>
      <c r="J51" s="203"/>
      <c r="K51" s="203"/>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91"/>
      <c r="BA51" s="91"/>
      <c r="BB51" s="91"/>
      <c r="BC51" s="91"/>
      <c r="BD51" s="91"/>
      <c r="BE51" s="91"/>
      <c r="BF51" s="91"/>
      <c r="BG51" s="91"/>
      <c r="BH51" s="91"/>
      <c r="BI51" s="91"/>
      <c r="BJ51" s="91"/>
      <c r="BK51" s="91"/>
      <c r="BL51" s="91"/>
    </row>
    <row r="52" spans="2:64" s="1" customFormat="1" x14ac:dyDescent="0.2">
      <c r="B52" s="82" t="s">
        <v>325</v>
      </c>
      <c r="C52" s="80"/>
      <c r="D52" s="200"/>
      <c r="E52" s="201"/>
      <c r="F52" s="201"/>
      <c r="G52" s="201"/>
      <c r="H52" s="202">
        <v>100000</v>
      </c>
      <c r="I52" s="151" t="s">
        <v>115</v>
      </c>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91"/>
      <c r="BA52" s="91"/>
      <c r="BB52" s="91"/>
      <c r="BC52" s="91"/>
      <c r="BD52" s="91"/>
      <c r="BE52" s="91"/>
      <c r="BF52" s="91"/>
      <c r="BG52" s="91"/>
      <c r="BH52" s="91"/>
      <c r="BI52" s="91"/>
      <c r="BJ52" s="91"/>
      <c r="BK52" s="91"/>
      <c r="BL52" s="91"/>
    </row>
    <row r="53" spans="2:64" s="1" customFormat="1" x14ac:dyDescent="0.2">
      <c r="B53" s="147" t="s">
        <v>184</v>
      </c>
      <c r="C53" s="116"/>
      <c r="D53" s="133"/>
      <c r="E53" s="117"/>
      <c r="F53" s="117"/>
      <c r="G53" s="117"/>
      <c r="H53" s="132">
        <f>SUM(H49:H52)</f>
        <v>400000</v>
      </c>
      <c r="I53" s="117"/>
      <c r="J53" s="114"/>
      <c r="K53" s="114"/>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91"/>
      <c r="BA53" s="91"/>
      <c r="BB53" s="91"/>
      <c r="BC53" s="91"/>
      <c r="BD53" s="91"/>
      <c r="BE53" s="91"/>
      <c r="BF53" s="91"/>
      <c r="BG53" s="91"/>
      <c r="BH53" s="91"/>
      <c r="BI53" s="91"/>
      <c r="BJ53" s="91"/>
      <c r="BK53" s="91"/>
      <c r="BL53" s="91"/>
    </row>
    <row r="54" spans="2:64" s="1" customFormat="1" x14ac:dyDescent="0.2">
      <c r="B54" s="150" t="s">
        <v>224</v>
      </c>
      <c r="C54" s="76"/>
      <c r="D54" s="205"/>
      <c r="E54" s="162"/>
      <c r="F54" s="108"/>
      <c r="G54" s="80"/>
      <c r="H54" s="162"/>
      <c r="I54" s="206"/>
      <c r="J54" s="2"/>
      <c r="K54" s="2"/>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row>
    <row r="55" spans="2:64" s="1" customFormat="1" ht="17.25" customHeight="1" x14ac:dyDescent="0.2">
      <c r="B55" s="82" t="s">
        <v>183</v>
      </c>
      <c r="C55" s="80"/>
      <c r="D55" s="193"/>
      <c r="E55" s="85"/>
      <c r="F55" s="85"/>
      <c r="G55" s="85"/>
      <c r="H55" s="157">
        <v>200000</v>
      </c>
      <c r="I55" s="85" t="s">
        <v>105</v>
      </c>
      <c r="J55" s="119"/>
      <c r="K55" s="119"/>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91"/>
      <c r="BA55" s="91"/>
      <c r="BB55" s="91"/>
      <c r="BC55" s="91"/>
      <c r="BD55" s="91"/>
      <c r="BE55" s="91"/>
      <c r="BF55" s="91"/>
      <c r="BG55" s="91"/>
      <c r="BH55" s="91"/>
      <c r="BI55" s="91"/>
      <c r="BJ55" s="91"/>
      <c r="BK55" s="91"/>
      <c r="BL55" s="91"/>
    </row>
    <row r="56" spans="2:64" s="1" customFormat="1" x14ac:dyDescent="0.2">
      <c r="B56" s="82" t="s">
        <v>187</v>
      </c>
      <c r="C56" s="80" t="s">
        <v>259</v>
      </c>
      <c r="D56" s="156"/>
      <c r="E56" s="85"/>
      <c r="F56" s="198"/>
      <c r="G56" s="198"/>
      <c r="H56" s="157">
        <v>500000</v>
      </c>
      <c r="I56" s="85" t="s">
        <v>110</v>
      </c>
      <c r="J56" s="2"/>
      <c r="K56" s="2"/>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row>
    <row r="57" spans="2:64" s="1" customFormat="1" ht="14.25" customHeight="1" x14ac:dyDescent="0.2">
      <c r="B57" s="82" t="s">
        <v>83</v>
      </c>
      <c r="C57" s="80" t="s">
        <v>306</v>
      </c>
      <c r="D57" s="205">
        <v>0.01</v>
      </c>
      <c r="E57" s="112"/>
      <c r="F57" s="112">
        <f>(173000000+78000000)*1.1</f>
        <v>276100000</v>
      </c>
      <c r="G57" s="80"/>
      <c r="H57" s="162">
        <f>+F57*D57</f>
        <v>2761000</v>
      </c>
      <c r="I57" s="113" t="s">
        <v>254</v>
      </c>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91"/>
      <c r="BA57" s="91"/>
      <c r="BB57" s="91"/>
      <c r="BC57" s="91"/>
      <c r="BD57" s="91"/>
      <c r="BE57" s="91"/>
      <c r="BF57" s="91"/>
      <c r="BG57" s="91"/>
      <c r="BH57" s="91"/>
      <c r="BI57" s="91"/>
      <c r="BJ57" s="91"/>
      <c r="BK57" s="91"/>
      <c r="BL57" s="91"/>
    </row>
    <row r="58" spans="2:64" s="1" customFormat="1" ht="25.5" x14ac:dyDescent="0.2">
      <c r="B58" s="82" t="s">
        <v>83</v>
      </c>
      <c r="C58" s="248" t="s">
        <v>327</v>
      </c>
      <c r="D58" s="111">
        <v>3.8000000000000002E-4</v>
      </c>
      <c r="E58" s="162" t="s">
        <v>328</v>
      </c>
      <c r="F58" s="162">
        <f>(378000000+48000000+110000000+102000000+31000000)*1.2</f>
        <v>802800000</v>
      </c>
      <c r="G58" s="80"/>
      <c r="H58" s="162">
        <f>+F58*D58</f>
        <v>305064</v>
      </c>
      <c r="I58" s="206" t="s">
        <v>254</v>
      </c>
    </row>
    <row r="59" spans="2:64" s="1" customFormat="1" x14ac:dyDescent="0.2">
      <c r="B59" s="82" t="s">
        <v>256</v>
      </c>
      <c r="C59" s="80"/>
      <c r="D59" s="156">
        <v>1100</v>
      </c>
      <c r="E59" s="85" t="s">
        <v>64</v>
      </c>
      <c r="F59" s="85">
        <f>375*1.5*0.8</f>
        <v>450</v>
      </c>
      <c r="G59" s="85"/>
      <c r="H59" s="157">
        <f>+D59*F59</f>
        <v>495000</v>
      </c>
      <c r="I59" s="85" t="s">
        <v>106</v>
      </c>
    </row>
    <row r="60" spans="2:64" s="1" customFormat="1" x14ac:dyDescent="0.2">
      <c r="B60" s="82" t="s">
        <v>258</v>
      </c>
      <c r="C60" s="80"/>
      <c r="D60" s="193"/>
      <c r="E60" s="85"/>
      <c r="F60" s="85"/>
      <c r="G60" s="85"/>
      <c r="H60" s="157">
        <v>250000</v>
      </c>
      <c r="I60" s="85" t="s">
        <v>226</v>
      </c>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row>
    <row r="61" spans="2:64" s="1" customFormat="1" x14ac:dyDescent="0.2">
      <c r="B61" s="90" t="s">
        <v>255</v>
      </c>
      <c r="C61" s="80"/>
      <c r="D61" s="200"/>
      <c r="E61" s="201"/>
      <c r="F61" s="201"/>
      <c r="G61" s="201"/>
      <c r="H61" s="202">
        <v>250000</v>
      </c>
      <c r="I61" s="151" t="s">
        <v>114</v>
      </c>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row>
    <row r="62" spans="2:64" s="1" customFormat="1" x14ac:dyDescent="0.2">
      <c r="B62" s="158" t="s">
        <v>184</v>
      </c>
      <c r="C62" s="76"/>
      <c r="D62" s="205"/>
      <c r="E62" s="162"/>
      <c r="F62" s="108"/>
      <c r="G62" s="80"/>
      <c r="H62" s="163">
        <f>SUM(H55:H61)</f>
        <v>4761064</v>
      </c>
      <c r="I62" s="206"/>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row>
    <row r="63" spans="2:64" s="1" customFormat="1" x14ac:dyDescent="0.2">
      <c r="B63" s="315" t="s">
        <v>299</v>
      </c>
      <c r="C63" s="315"/>
      <c r="D63" s="315"/>
      <c r="E63" s="315"/>
      <c r="F63" s="315"/>
      <c r="G63" s="315"/>
      <c r="H63" s="208">
        <f>+'Corporate Support'!G17*0.5677+ECC!G10*0.75</f>
        <v>1546764.0185</v>
      </c>
      <c r="I63" s="142"/>
    </row>
    <row r="64" spans="2:64" s="1" customFormat="1" x14ac:dyDescent="0.2">
      <c r="B64" s="209"/>
      <c r="C64" s="320" t="s">
        <v>34</v>
      </c>
      <c r="D64" s="320"/>
      <c r="E64" s="320"/>
      <c r="F64" s="320"/>
      <c r="G64" s="321"/>
      <c r="H64" s="178">
        <f>+H62+H53+H47+H35+H24+H63</f>
        <v>12743598.732785715</v>
      </c>
      <c r="I64" s="97"/>
    </row>
    <row r="65" spans="2:10" s="1" customFormat="1" x14ac:dyDescent="0.2">
      <c r="B65" s="209"/>
      <c r="C65" s="320" t="s">
        <v>374</v>
      </c>
      <c r="D65" s="320"/>
      <c r="E65" s="320"/>
      <c r="F65" s="320"/>
      <c r="G65" s="321"/>
      <c r="H65" s="118">
        <f>+(H64-H63)*0.15</f>
        <v>1679525.2071428571</v>
      </c>
      <c r="I65" s="97"/>
    </row>
    <row r="66" spans="2:10" s="1" customFormat="1" x14ac:dyDescent="0.2">
      <c r="B66" s="317" t="s">
        <v>290</v>
      </c>
      <c r="C66" s="318"/>
      <c r="D66" s="318"/>
      <c r="E66" s="318"/>
      <c r="F66" s="318"/>
      <c r="G66" s="319"/>
      <c r="H66" s="175">
        <f>H64+H65</f>
        <v>14423123.939928573</v>
      </c>
      <c r="I66" s="120"/>
      <c r="J66" s="39"/>
    </row>
    <row r="67" spans="2:10" x14ac:dyDescent="0.2">
      <c r="B67" s="316" t="s">
        <v>3</v>
      </c>
      <c r="C67" s="316"/>
      <c r="D67" s="1"/>
      <c r="E67" s="1"/>
      <c r="F67" s="1"/>
      <c r="G67" s="1"/>
      <c r="H67" s="1"/>
      <c r="I67" s="1"/>
    </row>
    <row r="68" spans="2:10" x14ac:dyDescent="0.2">
      <c r="B68" s="49" t="s">
        <v>156</v>
      </c>
      <c r="C68" s="49"/>
      <c r="D68" s="49"/>
      <c r="E68" s="49"/>
      <c r="F68" s="49"/>
      <c r="G68" s="49"/>
      <c r="H68" s="293">
        <f>(H63+H24)/H64</f>
        <v>0.41496630028808373</v>
      </c>
      <c r="I68" s="49"/>
    </row>
    <row r="69" spans="2:10" x14ac:dyDescent="0.2">
      <c r="B69" s="49" t="s">
        <v>253</v>
      </c>
      <c r="C69" s="49"/>
      <c r="D69" s="49"/>
      <c r="E69" s="49"/>
      <c r="F69" s="49"/>
      <c r="G69" s="49"/>
      <c r="H69" s="49"/>
      <c r="I69" s="49"/>
    </row>
    <row r="70" spans="2:10" ht="14.25" customHeight="1" x14ac:dyDescent="0.2">
      <c r="B70" s="49" t="s">
        <v>262</v>
      </c>
      <c r="C70" s="49"/>
      <c r="D70" s="49"/>
      <c r="E70" s="49"/>
      <c r="F70" s="49"/>
      <c r="G70" s="49"/>
      <c r="H70" s="49"/>
      <c r="I70" s="49"/>
    </row>
    <row r="71" spans="2:10" ht="33" customHeight="1" x14ac:dyDescent="0.2">
      <c r="B71" s="300" t="s">
        <v>263</v>
      </c>
      <c r="C71" s="314"/>
      <c r="D71" s="314"/>
      <c r="E71" s="314"/>
      <c r="F71" s="314"/>
      <c r="G71" s="314"/>
      <c r="H71" s="314"/>
      <c r="I71" s="49"/>
    </row>
    <row r="72" spans="2:10" ht="59.25" customHeight="1" x14ac:dyDescent="0.2">
      <c r="B72" s="300" t="s">
        <v>173</v>
      </c>
      <c r="C72" s="314"/>
      <c r="D72" s="314"/>
      <c r="E72" s="314"/>
      <c r="F72" s="314"/>
      <c r="G72" s="314"/>
      <c r="H72" s="314"/>
      <c r="I72" s="49"/>
    </row>
    <row r="73" spans="2:10" x14ac:dyDescent="0.2">
      <c r="B73" s="49" t="s">
        <v>153</v>
      </c>
      <c r="C73" s="49"/>
      <c r="D73" s="49"/>
      <c r="E73" s="49"/>
      <c r="F73" s="49"/>
      <c r="G73" s="49"/>
      <c r="H73" s="49"/>
      <c r="I73" s="49"/>
    </row>
    <row r="74" spans="2:10" x14ac:dyDescent="0.2">
      <c r="B74" s="49" t="s">
        <v>264</v>
      </c>
      <c r="C74" s="49"/>
      <c r="D74" s="49"/>
      <c r="E74" s="49"/>
      <c r="F74" s="49"/>
      <c r="G74" s="49"/>
      <c r="H74" s="49"/>
      <c r="I74" s="49"/>
    </row>
    <row r="75" spans="2:10" ht="30" customHeight="1" x14ac:dyDescent="0.2">
      <c r="B75" s="300" t="s">
        <v>265</v>
      </c>
      <c r="C75" s="314"/>
      <c r="D75" s="314"/>
      <c r="E75" s="314"/>
      <c r="F75" s="314"/>
      <c r="G75" s="314"/>
      <c r="H75" s="314"/>
      <c r="I75" s="314"/>
    </row>
    <row r="76" spans="2:10" x14ac:dyDescent="0.2">
      <c r="B76" s="49" t="s">
        <v>266</v>
      </c>
      <c r="C76" s="49"/>
      <c r="D76" s="49"/>
      <c r="E76" s="49"/>
      <c r="F76" s="49"/>
      <c r="G76" s="49"/>
      <c r="H76" s="49"/>
      <c r="I76" s="49"/>
    </row>
    <row r="77" spans="2:10" x14ac:dyDescent="0.2">
      <c r="B77" s="49" t="s">
        <v>174</v>
      </c>
      <c r="C77" s="49"/>
      <c r="D77" s="49"/>
      <c r="E77" s="49"/>
      <c r="F77" s="49"/>
      <c r="G77" s="49"/>
      <c r="H77" s="49"/>
      <c r="I77" s="49"/>
    </row>
    <row r="78" spans="2:10" x14ac:dyDescent="0.2">
      <c r="B78" s="49" t="s">
        <v>154</v>
      </c>
      <c r="C78" s="49"/>
      <c r="D78" s="49"/>
      <c r="E78" s="49"/>
      <c r="F78" s="49"/>
      <c r="G78" s="49"/>
      <c r="H78" s="49"/>
      <c r="I78" s="49"/>
    </row>
    <row r="79" spans="2:10" x14ac:dyDescent="0.2">
      <c r="B79" s="49" t="s">
        <v>242</v>
      </c>
      <c r="C79" s="50"/>
      <c r="D79" s="50"/>
      <c r="E79" s="50"/>
      <c r="F79" s="50"/>
      <c r="G79" s="50"/>
      <c r="H79" s="50"/>
      <c r="I79" s="50"/>
    </row>
    <row r="80" spans="2:10" x14ac:dyDescent="0.2">
      <c r="B80" s="49" t="s">
        <v>248</v>
      </c>
      <c r="C80" s="50"/>
      <c r="D80" s="50"/>
      <c r="E80" s="50"/>
      <c r="F80" s="50"/>
      <c r="G80" s="50"/>
      <c r="H80" s="50"/>
      <c r="I80" s="50"/>
    </row>
    <row r="81" spans="2:9" x14ac:dyDescent="0.2">
      <c r="B81" s="49" t="s">
        <v>249</v>
      </c>
      <c r="C81" s="50"/>
      <c r="D81" s="50"/>
      <c r="E81" s="50"/>
      <c r="F81" s="50"/>
      <c r="G81" s="50"/>
      <c r="H81" s="50"/>
      <c r="I81" s="50"/>
    </row>
    <row r="82" spans="2:9" x14ac:dyDescent="0.2">
      <c r="B82" s="49" t="s">
        <v>155</v>
      </c>
      <c r="C82" s="50"/>
      <c r="D82" s="50"/>
      <c r="E82" s="50"/>
      <c r="F82" s="50"/>
      <c r="G82" s="50"/>
      <c r="H82" s="50"/>
      <c r="I82" s="50"/>
    </row>
    <row r="83" spans="2:9" x14ac:dyDescent="0.2">
      <c r="B83" s="49" t="s">
        <v>268</v>
      </c>
      <c r="C83" s="50"/>
      <c r="D83" s="50"/>
      <c r="E83" s="50"/>
      <c r="F83" s="50"/>
      <c r="G83" s="50"/>
      <c r="H83" s="50"/>
      <c r="I83" s="50"/>
    </row>
    <row r="84" spans="2:9" ht="30" customHeight="1" x14ac:dyDescent="0.2">
      <c r="B84" s="300" t="s">
        <v>175</v>
      </c>
      <c r="C84" s="314"/>
      <c r="D84" s="314"/>
      <c r="E84" s="314"/>
      <c r="F84" s="314"/>
      <c r="G84" s="314"/>
      <c r="H84" s="314"/>
      <c r="I84" s="50"/>
    </row>
    <row r="85" spans="2:9" ht="30" customHeight="1" x14ac:dyDescent="0.2">
      <c r="B85" s="300" t="s">
        <v>270</v>
      </c>
      <c r="C85" s="314"/>
      <c r="D85" s="314"/>
      <c r="E85" s="314"/>
      <c r="F85" s="314"/>
      <c r="G85" s="314"/>
      <c r="H85" s="314"/>
      <c r="I85" s="314"/>
    </row>
    <row r="86" spans="2:9" x14ac:dyDescent="0.2">
      <c r="B86" s="49" t="s">
        <v>267</v>
      </c>
      <c r="C86" s="50"/>
      <c r="D86" s="50"/>
      <c r="E86" s="50"/>
      <c r="F86" s="50"/>
      <c r="G86" s="50"/>
      <c r="H86" s="50"/>
      <c r="I86" s="50"/>
    </row>
    <row r="87" spans="2:9" x14ac:dyDescent="0.2">
      <c r="B87" s="49" t="s">
        <v>260</v>
      </c>
      <c r="C87" s="50"/>
      <c r="D87" s="50"/>
      <c r="E87" s="50"/>
      <c r="F87" s="50"/>
      <c r="G87" s="50"/>
      <c r="H87" s="50"/>
      <c r="I87" s="50"/>
    </row>
    <row r="88" spans="2:9" ht="64.5" customHeight="1" x14ac:dyDescent="0.2">
      <c r="B88" s="300" t="s">
        <v>252</v>
      </c>
      <c r="C88" s="314"/>
      <c r="D88" s="314"/>
      <c r="E88" s="314"/>
      <c r="F88" s="314"/>
      <c r="G88" s="314"/>
      <c r="H88" s="314"/>
      <c r="I88" s="314"/>
    </row>
    <row r="89" spans="2:9" x14ac:dyDescent="0.2">
      <c r="B89" s="63" t="s">
        <v>244</v>
      </c>
      <c r="C89" s="50"/>
      <c r="D89" s="50"/>
      <c r="E89" s="50"/>
      <c r="F89" s="50"/>
      <c r="G89" s="50"/>
      <c r="H89" s="50"/>
      <c r="I89" s="50"/>
    </row>
    <row r="90" spans="2:9" ht="19.5" customHeight="1" x14ac:dyDescent="0.2">
      <c r="B90" s="313" t="s">
        <v>305</v>
      </c>
      <c r="C90" s="314"/>
      <c r="D90" s="314"/>
      <c r="E90" s="314"/>
      <c r="F90" s="314"/>
      <c r="G90" s="314"/>
      <c r="H90" s="314"/>
      <c r="I90" s="314"/>
    </row>
    <row r="91" spans="2:9" ht="17.25" customHeight="1" x14ac:dyDescent="0.2">
      <c r="B91" s="313" t="s">
        <v>352</v>
      </c>
      <c r="C91" s="314"/>
      <c r="D91" s="314"/>
      <c r="E91" s="314"/>
      <c r="F91" s="314"/>
      <c r="G91" s="314"/>
      <c r="H91" s="314"/>
      <c r="I91" s="314"/>
    </row>
    <row r="92" spans="2:9" x14ac:dyDescent="0.2">
      <c r="B92" s="313" t="s">
        <v>269</v>
      </c>
      <c r="C92" s="314"/>
      <c r="D92" s="314"/>
      <c r="E92" s="314"/>
      <c r="F92" s="314"/>
      <c r="G92" s="314"/>
      <c r="H92" s="314"/>
      <c r="I92" s="314"/>
    </row>
  </sheetData>
  <mergeCells count="14">
    <mergeCell ref="B63:G63"/>
    <mergeCell ref="B67:C67"/>
    <mergeCell ref="B71:H71"/>
    <mergeCell ref="B72:H72"/>
    <mergeCell ref="B66:G66"/>
    <mergeCell ref="C64:G64"/>
    <mergeCell ref="C65:G65"/>
    <mergeCell ref="B92:I92"/>
    <mergeCell ref="B91:I91"/>
    <mergeCell ref="B75:I75"/>
    <mergeCell ref="B90:I90"/>
    <mergeCell ref="B85:I85"/>
    <mergeCell ref="B88:I88"/>
    <mergeCell ref="B84:H84"/>
  </mergeCells>
  <phoneticPr fontId="4" type="noConversion"/>
  <hyperlinks>
    <hyperlink ref="C50" location="SOBI!A1" display="Annualized Cost based on Worksheet &quot;SOBI&quot;"/>
    <hyperlink ref="G1:I1" location="Summary!A1" display="Return to Summary Sheet"/>
  </hyperlinks>
  <printOptions horizontalCentered="1" verticalCentered="1"/>
  <pageMargins left="0.25" right="0.25" top="0.5" bottom="0.5" header="0" footer="0"/>
  <pageSetup paperSize="17" scale="77" orientation="portrait" r:id="rId1"/>
  <headerFooter alignWithMargins="0">
    <oddFooter>&amp;LOpex Estimate - Transmission&amp;R&amp;P</oddFooter>
  </headerFooter>
  <rowBreaks count="1" manualBreakCount="1">
    <brk id="47" min="1"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showRowColHeaders="0" zoomScaleNormal="100" workbookViewId="0">
      <selection activeCell="G16" sqref="G16"/>
    </sheetView>
  </sheetViews>
  <sheetFormatPr defaultColWidth="9.140625" defaultRowHeight="12.75" x14ac:dyDescent="0.2"/>
  <cols>
    <col min="1" max="1" width="4.7109375" style="1" customWidth="1"/>
    <col min="2" max="2" width="58.85546875" style="1" customWidth="1"/>
    <col min="3" max="3" width="30.140625" style="1" customWidth="1"/>
    <col min="4" max="4" width="12" style="1" bestFit="1" customWidth="1"/>
    <col min="5" max="5" width="5.7109375" style="1" bestFit="1" customWidth="1"/>
    <col min="6" max="6" width="10.28515625" style="1" bestFit="1" customWidth="1"/>
    <col min="7" max="7" width="12.7109375" style="1" bestFit="1" customWidth="1"/>
    <col min="8" max="8" width="6.7109375" style="1" bestFit="1" customWidth="1"/>
    <col min="9" max="9" width="37.5703125" style="1" bestFit="1" customWidth="1"/>
    <col min="10" max="10" width="19.140625" style="1" bestFit="1" customWidth="1"/>
    <col min="11" max="51" width="13.28515625" style="1" bestFit="1" customWidth="1"/>
    <col min="52" max="16384" width="9.140625" style="1"/>
  </cols>
  <sheetData>
    <row r="1" spans="2:45" ht="21" x14ac:dyDescent="0.35">
      <c r="B1" s="54" t="s">
        <v>372</v>
      </c>
      <c r="C1" s="61" t="s">
        <v>279</v>
      </c>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pans="2:45" ht="7.5" customHeight="1" x14ac:dyDescent="0.25">
      <c r="B2" s="16"/>
      <c r="C2" s="2"/>
    </row>
    <row r="3" spans="2:45" s="7" customFormat="1" ht="20.25" customHeight="1" x14ac:dyDescent="0.25">
      <c r="B3" s="42" t="s">
        <v>13</v>
      </c>
      <c r="C3" s="40" t="s">
        <v>22</v>
      </c>
      <c r="D3" s="40" t="s">
        <v>84</v>
      </c>
      <c r="E3" s="40" t="s">
        <v>85</v>
      </c>
      <c r="F3" s="40" t="s">
        <v>177</v>
      </c>
      <c r="G3" s="40" t="s">
        <v>2</v>
      </c>
      <c r="H3" s="40" t="s">
        <v>86</v>
      </c>
      <c r="I3" s="19"/>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8"/>
    </row>
    <row r="4" spans="2:45" s="7" customFormat="1" ht="15" customHeight="1" x14ac:dyDescent="0.25">
      <c r="B4" s="45" t="s">
        <v>188</v>
      </c>
      <c r="C4" s="48" t="s">
        <v>5</v>
      </c>
      <c r="D4" s="31">
        <v>95000</v>
      </c>
      <c r="E4" s="35">
        <v>0.3</v>
      </c>
      <c r="F4" s="35">
        <v>0.75</v>
      </c>
      <c r="G4" s="11">
        <f>+D4*(E4+1)*F4</f>
        <v>92625</v>
      </c>
      <c r="H4" s="30"/>
      <c r="I4" s="21"/>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8"/>
    </row>
    <row r="5" spans="2:45" s="7" customFormat="1" ht="15.75" x14ac:dyDescent="0.25">
      <c r="B5" s="45" t="s">
        <v>188</v>
      </c>
      <c r="C5" s="48" t="s">
        <v>6</v>
      </c>
      <c r="D5" s="31">
        <v>95000</v>
      </c>
      <c r="E5" s="35">
        <v>0.3</v>
      </c>
      <c r="F5" s="35">
        <v>0.75</v>
      </c>
      <c r="G5" s="11">
        <f t="shared" ref="G5:G12" si="0">+D5*(E5+1)*F5</f>
        <v>92625</v>
      </c>
      <c r="H5" s="30"/>
      <c r="I5" s="21"/>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8"/>
    </row>
    <row r="6" spans="2:45" s="7" customFormat="1" ht="15.75" x14ac:dyDescent="0.25">
      <c r="B6" s="45" t="s">
        <v>188</v>
      </c>
      <c r="C6" s="48" t="s">
        <v>7</v>
      </c>
      <c r="D6" s="31">
        <v>95000</v>
      </c>
      <c r="E6" s="35">
        <v>0.3</v>
      </c>
      <c r="F6" s="35">
        <v>0.5</v>
      </c>
      <c r="G6" s="11">
        <f t="shared" si="0"/>
        <v>61750</v>
      </c>
      <c r="H6" s="3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8"/>
    </row>
    <row r="7" spans="2:45" s="7" customFormat="1" ht="15.75" x14ac:dyDescent="0.25">
      <c r="B7" s="45" t="s">
        <v>188</v>
      </c>
      <c r="C7" s="48" t="s">
        <v>272</v>
      </c>
      <c r="D7" s="31">
        <v>95000</v>
      </c>
      <c r="E7" s="35">
        <v>0.3</v>
      </c>
      <c r="F7" s="35">
        <v>0.25</v>
      </c>
      <c r="G7" s="11">
        <f t="shared" ref="G7" si="1">+D7*(E7+1)*F7</f>
        <v>30875</v>
      </c>
      <c r="H7" s="3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8"/>
    </row>
    <row r="8" spans="2:45" s="7" customFormat="1" ht="15.75" x14ac:dyDescent="0.25">
      <c r="B8" s="45" t="s">
        <v>188</v>
      </c>
      <c r="C8" s="48" t="s">
        <v>273</v>
      </c>
      <c r="D8" s="31">
        <v>95000</v>
      </c>
      <c r="E8" s="35">
        <v>0.3</v>
      </c>
      <c r="F8" s="35">
        <v>0.25</v>
      </c>
      <c r="G8" s="11">
        <f t="shared" si="0"/>
        <v>30875</v>
      </c>
      <c r="H8" s="30"/>
      <c r="I8" s="21"/>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8"/>
    </row>
    <row r="9" spans="2:45" s="7" customFormat="1" ht="15.75" x14ac:dyDescent="0.25">
      <c r="B9" s="45" t="s">
        <v>188</v>
      </c>
      <c r="C9" s="48" t="s">
        <v>8</v>
      </c>
      <c r="D9" s="31">
        <v>95000</v>
      </c>
      <c r="E9" s="35">
        <v>0.3</v>
      </c>
      <c r="F9" s="35">
        <v>0.5</v>
      </c>
      <c r="G9" s="11">
        <f t="shared" si="0"/>
        <v>61750</v>
      </c>
      <c r="H9" s="30"/>
      <c r="I9" s="21"/>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8"/>
    </row>
    <row r="10" spans="2:45" s="7" customFormat="1" ht="15.75" x14ac:dyDescent="0.25">
      <c r="B10" s="45" t="s">
        <v>9</v>
      </c>
      <c r="C10" s="46" t="s">
        <v>11</v>
      </c>
      <c r="D10" s="14">
        <v>70000</v>
      </c>
      <c r="E10" s="35">
        <v>0.3</v>
      </c>
      <c r="F10" s="35">
        <v>7.5</v>
      </c>
      <c r="G10" s="11">
        <f t="shared" si="0"/>
        <v>682500</v>
      </c>
      <c r="H10" s="30"/>
      <c r="I10" s="21"/>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8"/>
    </row>
    <row r="11" spans="2:45" s="7" customFormat="1" ht="15.75" x14ac:dyDescent="0.25">
      <c r="B11" s="45" t="s">
        <v>10</v>
      </c>
      <c r="C11" s="46" t="s">
        <v>12</v>
      </c>
      <c r="D11" s="31">
        <v>83000</v>
      </c>
      <c r="E11" s="35">
        <v>0.3</v>
      </c>
      <c r="F11" s="38">
        <v>3</v>
      </c>
      <c r="G11" s="11">
        <f t="shared" si="0"/>
        <v>323700</v>
      </c>
      <c r="H11" s="30"/>
      <c r="I11" s="21"/>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8"/>
    </row>
    <row r="12" spans="2:45" s="7" customFormat="1" ht="15.75" x14ac:dyDescent="0.25">
      <c r="B12" s="45" t="s">
        <v>88</v>
      </c>
      <c r="C12" s="46"/>
      <c r="D12" s="31">
        <v>70000</v>
      </c>
      <c r="E12" s="35">
        <v>0.3</v>
      </c>
      <c r="F12" s="38">
        <v>3</v>
      </c>
      <c r="G12" s="11">
        <f t="shared" si="0"/>
        <v>273000</v>
      </c>
      <c r="H12" s="30"/>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8"/>
    </row>
    <row r="13" spans="2:45" s="7" customFormat="1" ht="15.75" x14ac:dyDescent="0.25">
      <c r="B13" s="47" t="s">
        <v>124</v>
      </c>
      <c r="C13" s="9"/>
      <c r="D13" s="36"/>
      <c r="E13" s="12"/>
      <c r="F13" s="12"/>
      <c r="G13" s="12" t="s">
        <v>330</v>
      </c>
      <c r="H13" s="13" t="s">
        <v>334</v>
      </c>
      <c r="I13" s="21"/>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8"/>
    </row>
    <row r="14" spans="2:45" s="7" customFormat="1" ht="15.75" x14ac:dyDescent="0.25">
      <c r="B14" s="45" t="s">
        <v>38</v>
      </c>
      <c r="C14" s="37"/>
      <c r="D14" s="14"/>
      <c r="E14" s="23"/>
      <c r="F14" s="23"/>
      <c r="G14" s="12">
        <v>200000</v>
      </c>
      <c r="H14" s="12" t="s">
        <v>92</v>
      </c>
      <c r="I14" s="24"/>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8"/>
    </row>
    <row r="15" spans="2:45" ht="15.75" x14ac:dyDescent="0.25">
      <c r="B15" s="52"/>
      <c r="C15" s="325" t="s">
        <v>179</v>
      </c>
      <c r="D15" s="325"/>
      <c r="E15" s="325"/>
      <c r="F15" s="325"/>
      <c r="G15" s="53">
        <f>SUM(G4:G14)</f>
        <v>1849700</v>
      </c>
      <c r="H15" s="53"/>
      <c r="I15" s="24"/>
      <c r="J15" s="10"/>
    </row>
    <row r="16" spans="2:45" ht="15.75" x14ac:dyDescent="0.25">
      <c r="B16" s="52"/>
      <c r="C16" s="325" t="s">
        <v>374</v>
      </c>
      <c r="D16" s="325"/>
      <c r="E16" s="325"/>
      <c r="F16" s="325"/>
      <c r="G16" s="185">
        <f>+G15*0.15</f>
        <v>277455</v>
      </c>
      <c r="H16" s="185"/>
      <c r="I16" s="24"/>
      <c r="J16" s="10"/>
    </row>
    <row r="17" spans="1:48" ht="15.75" x14ac:dyDescent="0.25">
      <c r="B17" s="322" t="s">
        <v>261</v>
      </c>
      <c r="C17" s="323"/>
      <c r="D17" s="323"/>
      <c r="E17" s="324"/>
      <c r="F17" s="43">
        <f>SUM(F4:F15)</f>
        <v>16.5</v>
      </c>
      <c r="G17" s="44">
        <f>+G15+G16</f>
        <v>2127155</v>
      </c>
      <c r="H17" s="44"/>
      <c r="I17" s="24"/>
      <c r="J17" s="25"/>
    </row>
    <row r="18" spans="1:48" ht="7.5" customHeight="1" x14ac:dyDescent="0.25">
      <c r="B18" s="7"/>
      <c r="C18" s="7"/>
      <c r="D18" s="7"/>
      <c r="E18" s="7"/>
      <c r="F18" s="7"/>
      <c r="G18" s="7"/>
      <c r="H18" s="257"/>
      <c r="I18" s="25"/>
      <c r="J18" s="7"/>
    </row>
    <row r="19" spans="1:48" ht="15.75" x14ac:dyDescent="0.25">
      <c r="B19" s="62" t="s">
        <v>89</v>
      </c>
      <c r="C19" s="56"/>
      <c r="D19" s="56"/>
      <c r="E19" s="56"/>
      <c r="F19" s="56"/>
      <c r="G19" s="56"/>
      <c r="H19" s="56"/>
      <c r="I19" s="7"/>
      <c r="J19" s="7"/>
    </row>
    <row r="20" spans="1:48" ht="15.75" x14ac:dyDescent="0.25">
      <c r="B20" s="49" t="s">
        <v>277</v>
      </c>
      <c r="C20" s="49"/>
      <c r="D20" s="49"/>
      <c r="E20" s="49"/>
      <c r="F20" s="49"/>
      <c r="G20" s="49"/>
      <c r="H20" s="49"/>
      <c r="I20" s="7"/>
      <c r="J20" s="7"/>
    </row>
    <row r="21" spans="1:48" ht="15.75" x14ac:dyDescent="0.25">
      <c r="B21" s="49" t="s">
        <v>276</v>
      </c>
      <c r="C21" s="49"/>
      <c r="D21" s="49"/>
      <c r="E21" s="49"/>
      <c r="F21" s="49"/>
      <c r="G21" s="49"/>
      <c r="H21" s="49"/>
      <c r="I21" s="7"/>
    </row>
    <row r="22" spans="1:48" x14ac:dyDescent="0.2">
      <c r="B22" s="49" t="s">
        <v>274</v>
      </c>
      <c r="C22" s="49"/>
      <c r="D22" s="49"/>
      <c r="E22" s="49"/>
      <c r="F22" s="49"/>
      <c r="G22" s="49"/>
      <c r="H22" s="49"/>
    </row>
    <row r="23" spans="1:48" x14ac:dyDescent="0.2">
      <c r="B23" s="49" t="s">
        <v>178</v>
      </c>
      <c r="C23" s="49"/>
      <c r="D23" s="49"/>
      <c r="E23" s="49"/>
      <c r="F23" s="49"/>
      <c r="G23" s="49"/>
      <c r="H23" s="49"/>
    </row>
    <row r="24" spans="1:48" x14ac:dyDescent="0.2">
      <c r="B24" s="300" t="s">
        <v>331</v>
      </c>
      <c r="C24" s="314"/>
      <c r="D24" s="314"/>
      <c r="E24" s="314"/>
      <c r="F24" s="314"/>
      <c r="G24" s="314"/>
      <c r="H24" s="314"/>
    </row>
    <row r="25" spans="1:48" x14ac:dyDescent="0.2">
      <c r="B25" s="49" t="s">
        <v>278</v>
      </c>
      <c r="C25" s="49"/>
      <c r="D25" s="49"/>
      <c r="E25" s="49"/>
      <c r="F25" s="49"/>
      <c r="G25" s="49"/>
      <c r="H25" s="49"/>
    </row>
    <row r="26" spans="1:48" x14ac:dyDescent="0.2">
      <c r="B26" s="56" t="s">
        <v>337</v>
      </c>
      <c r="C26" s="49"/>
      <c r="D26" s="49"/>
      <c r="E26" s="49"/>
      <c r="F26" s="49"/>
      <c r="G26" s="49"/>
      <c r="H26" s="49"/>
    </row>
    <row r="27" spans="1:48" x14ac:dyDescent="0.2">
      <c r="B27" s="56" t="s">
        <v>298</v>
      </c>
      <c r="C27" s="49"/>
      <c r="D27" s="49"/>
      <c r="E27" s="49"/>
      <c r="F27" s="49"/>
      <c r="G27" s="49"/>
      <c r="H27" s="49"/>
    </row>
    <row r="28" spans="1:48" x14ac:dyDescent="0.2">
      <c r="B28" s="56" t="s">
        <v>338</v>
      </c>
      <c r="C28" s="123"/>
      <c r="D28" s="123"/>
      <c r="E28" s="123"/>
      <c r="F28" s="123"/>
      <c r="G28" s="123"/>
      <c r="H28" s="123"/>
    </row>
    <row r="29" spans="1:48" x14ac:dyDescent="0.2">
      <c r="B29" s="56" t="s">
        <v>298</v>
      </c>
      <c r="C29" s="58">
        <f>SUMIF($B$4:$B$14,B29,$G$4:$G$14)</f>
        <v>0</v>
      </c>
      <c r="D29" s="127"/>
      <c r="E29" s="127"/>
      <c r="F29" s="127"/>
      <c r="G29" s="125"/>
      <c r="H29" s="125"/>
      <c r="I29" s="124"/>
    </row>
    <row r="30" spans="1:48" x14ac:dyDescent="0.2">
      <c r="A30" s="126"/>
      <c r="B30" s="300" t="s">
        <v>336</v>
      </c>
      <c r="C30" s="302"/>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row>
    <row r="31" spans="1:48" x14ac:dyDescent="0.2">
      <c r="A31" s="126"/>
      <c r="B31" s="300" t="s">
        <v>335</v>
      </c>
      <c r="C31" s="302"/>
      <c r="D31" s="256"/>
      <c r="E31" s="256"/>
      <c r="F31" s="256"/>
      <c r="G31" s="256"/>
      <c r="H31" s="256"/>
      <c r="I31" s="256"/>
      <c r="J31" s="256"/>
      <c r="K31" s="256"/>
      <c r="L31" s="256"/>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row>
    <row r="32" spans="1:48" x14ac:dyDescent="0.2">
      <c r="A32" s="126"/>
      <c r="B32" s="57" t="s">
        <v>88</v>
      </c>
      <c r="C32" s="58">
        <f t="shared" ref="C32:C35" si="2">SUMIF($B$4:$B$14,B32,$G$4:$G$14)</f>
        <v>273000</v>
      </c>
      <c r="D32" s="125"/>
      <c r="E32" s="125"/>
      <c r="F32" s="125"/>
      <c r="G32" s="125"/>
      <c r="H32" s="125"/>
      <c r="I32" s="124"/>
    </row>
    <row r="33" spans="1:11" x14ac:dyDescent="0.2">
      <c r="A33" s="126"/>
      <c r="B33" s="57" t="s">
        <v>38</v>
      </c>
      <c r="C33" s="58">
        <f t="shared" si="2"/>
        <v>200000</v>
      </c>
      <c r="D33" s="125"/>
      <c r="E33" s="125"/>
      <c r="F33" s="125"/>
      <c r="G33" s="125"/>
      <c r="H33" s="125"/>
      <c r="I33" s="124"/>
    </row>
    <row r="34" spans="1:11" x14ac:dyDescent="0.2">
      <c r="A34" s="126"/>
      <c r="B34" s="57" t="s">
        <v>188</v>
      </c>
      <c r="C34" s="58">
        <f t="shared" si="2"/>
        <v>370500</v>
      </c>
      <c r="D34" s="125"/>
      <c r="E34" s="125"/>
      <c r="F34" s="125"/>
      <c r="G34" s="125"/>
      <c r="H34" s="125"/>
      <c r="I34" s="124"/>
    </row>
    <row r="35" spans="1:11" x14ac:dyDescent="0.2">
      <c r="A35" s="126"/>
      <c r="B35" s="57" t="s">
        <v>9</v>
      </c>
      <c r="C35" s="58">
        <f t="shared" si="2"/>
        <v>682500</v>
      </c>
      <c r="D35" s="123"/>
      <c r="E35" s="123"/>
      <c r="F35" s="123"/>
      <c r="G35" s="123"/>
      <c r="H35" s="123"/>
      <c r="I35" s="124"/>
    </row>
    <row r="36" spans="1:11" x14ac:dyDescent="0.2">
      <c r="A36" s="126"/>
      <c r="B36" s="126"/>
      <c r="C36" s="126"/>
      <c r="D36" s="123"/>
      <c r="E36" s="123"/>
      <c r="F36" s="123"/>
      <c r="G36" s="123"/>
      <c r="H36" s="123"/>
      <c r="I36" s="124"/>
      <c r="J36"/>
      <c r="K36"/>
    </row>
    <row r="37" spans="1:11" x14ac:dyDescent="0.2">
      <c r="A37" s="126"/>
      <c r="B37" s="123"/>
      <c r="C37" s="123"/>
      <c r="D37" s="123"/>
      <c r="E37" s="123"/>
      <c r="F37" s="123"/>
      <c r="G37" s="123"/>
      <c r="H37" s="123"/>
      <c r="I37" s="124"/>
      <c r="J37"/>
      <c r="K37"/>
    </row>
    <row r="38" spans="1:11" x14ac:dyDescent="0.2">
      <c r="A38" s="126"/>
      <c r="B38" s="123"/>
      <c r="C38" s="123"/>
      <c r="D38" s="123"/>
      <c r="E38" s="123"/>
      <c r="F38" s="123"/>
      <c r="G38" s="123"/>
      <c r="H38" s="123"/>
      <c r="I38" s="124"/>
      <c r="J38"/>
      <c r="K38"/>
    </row>
    <row r="39" spans="1:11" x14ac:dyDescent="0.2">
      <c r="A39" s="126"/>
      <c r="B39" s="123"/>
      <c r="C39" s="123"/>
      <c r="D39" s="123"/>
      <c r="E39" s="123"/>
      <c r="F39" s="123"/>
      <c r="G39" s="123"/>
      <c r="H39" s="123"/>
      <c r="I39" s="124"/>
      <c r="J39"/>
      <c r="K39"/>
    </row>
    <row r="40" spans="1:11" x14ac:dyDescent="0.2">
      <c r="B40" s="123"/>
      <c r="C40" s="123"/>
      <c r="D40" s="123"/>
      <c r="E40" s="123"/>
      <c r="F40" s="123"/>
      <c r="G40" s="123"/>
      <c r="H40" s="123"/>
      <c r="I40" s="124"/>
      <c r="J40"/>
      <c r="K40"/>
    </row>
    <row r="41" spans="1:11" x14ac:dyDescent="0.2">
      <c r="B41" s="123"/>
      <c r="C41" s="123"/>
      <c r="D41" s="123"/>
      <c r="E41" s="123"/>
      <c r="F41" s="123"/>
      <c r="G41" s="123"/>
      <c r="I41" s="124"/>
      <c r="J41"/>
      <c r="K41"/>
    </row>
    <row r="42" spans="1:11" x14ac:dyDescent="0.2">
      <c r="B42" s="123"/>
      <c r="C42" s="123"/>
      <c r="D42" s="123"/>
      <c r="E42" s="123"/>
      <c r="F42" s="123"/>
      <c r="G42" s="123"/>
      <c r="I42"/>
      <c r="J42"/>
      <c r="K42"/>
    </row>
    <row r="43" spans="1:11" x14ac:dyDescent="0.2">
      <c r="B43" s="123"/>
      <c r="C43" s="123"/>
      <c r="D43" s="123"/>
      <c r="E43" s="123"/>
      <c r="F43" s="123"/>
      <c r="G43" s="123"/>
      <c r="I43"/>
      <c r="J43"/>
      <c r="K43"/>
    </row>
    <row r="44" spans="1:11" x14ac:dyDescent="0.2">
      <c r="D44" s="123"/>
      <c r="E44" s="123"/>
      <c r="F44" s="123"/>
      <c r="G44" s="123"/>
      <c r="I44"/>
    </row>
    <row r="45" spans="1:11" x14ac:dyDescent="0.2">
      <c r="D45" s="123"/>
      <c r="E45" s="123"/>
      <c r="F45" s="123"/>
      <c r="G45" s="123"/>
    </row>
    <row r="46" spans="1:11" x14ac:dyDescent="0.2">
      <c r="E46" s="123"/>
      <c r="F46" s="123"/>
      <c r="G46" s="123"/>
    </row>
  </sheetData>
  <mergeCells count="6">
    <mergeCell ref="B30:C30"/>
    <mergeCell ref="B31:C31"/>
    <mergeCell ref="B24:H24"/>
    <mergeCell ref="B17:E17"/>
    <mergeCell ref="C15:F15"/>
    <mergeCell ref="C16:F16"/>
  </mergeCells>
  <hyperlinks>
    <hyperlink ref="C1" location="Summary!A1" display="Return to Summary Sheet"/>
  </hyperlinks>
  <printOptions horizontalCentered="1" verticalCentered="1"/>
  <pageMargins left="0.2" right="0.2" top="0.75" bottom="0.75" header="0.3" footer="0.3"/>
  <pageSetup paperSize="5"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7"/>
  <sheetViews>
    <sheetView showGridLines="0" showRowColHeaders="0" zoomScaleNormal="100" workbookViewId="0">
      <selection activeCell="G10" sqref="G10"/>
    </sheetView>
  </sheetViews>
  <sheetFormatPr defaultColWidth="9.140625" defaultRowHeight="12.75" x14ac:dyDescent="0.2"/>
  <cols>
    <col min="1" max="1" width="4.7109375" style="1" customWidth="1"/>
    <col min="2" max="2" width="58.85546875" style="1" customWidth="1"/>
    <col min="3" max="3" width="30.140625" style="1" customWidth="1"/>
    <col min="4" max="4" width="12" style="1" bestFit="1" customWidth="1"/>
    <col min="5" max="5" width="5.7109375" style="1" bestFit="1" customWidth="1"/>
    <col min="6" max="6" width="10.28515625" style="1" bestFit="1" customWidth="1"/>
    <col min="7" max="7" width="12.7109375" style="1" bestFit="1" customWidth="1"/>
    <col min="8" max="8" width="6.7109375" style="1" bestFit="1" customWidth="1"/>
    <col min="9" max="9" width="37.5703125" style="1" bestFit="1" customWidth="1"/>
    <col min="10" max="10" width="19.140625" style="1" bestFit="1" customWidth="1"/>
    <col min="11" max="51" width="13.28515625" style="1" bestFit="1" customWidth="1"/>
    <col min="52" max="16384" width="9.140625" style="1"/>
  </cols>
  <sheetData>
    <row r="1" spans="2:45" ht="21" x14ac:dyDescent="0.35">
      <c r="B1" s="54" t="s">
        <v>373</v>
      </c>
      <c r="C1" s="61" t="s">
        <v>279</v>
      </c>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pans="2:45" ht="7.5" customHeight="1" x14ac:dyDescent="0.25">
      <c r="B2" s="16"/>
      <c r="C2" s="2"/>
    </row>
    <row r="3" spans="2:45" s="7" customFormat="1" ht="20.25" customHeight="1" x14ac:dyDescent="0.25">
      <c r="B3" s="42" t="s">
        <v>13</v>
      </c>
      <c r="C3" s="40" t="s">
        <v>22</v>
      </c>
      <c r="D3" s="40" t="s">
        <v>84</v>
      </c>
      <c r="E3" s="40" t="s">
        <v>85</v>
      </c>
      <c r="F3" s="40" t="s">
        <v>177</v>
      </c>
      <c r="G3" s="40" t="s">
        <v>2</v>
      </c>
      <c r="H3" s="40" t="s">
        <v>86</v>
      </c>
      <c r="I3" s="19"/>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8"/>
    </row>
    <row r="4" spans="2:45" s="7" customFormat="1" ht="15" customHeight="1" x14ac:dyDescent="0.25">
      <c r="B4" s="46" t="s">
        <v>339</v>
      </c>
      <c r="C4" s="46" t="s">
        <v>109</v>
      </c>
      <c r="D4" s="31">
        <v>95000</v>
      </c>
      <c r="E4" s="29">
        <v>0.3</v>
      </c>
      <c r="F4" s="260">
        <v>1</v>
      </c>
      <c r="G4" s="12">
        <f>+(E4+1)*D4*F4</f>
        <v>123500</v>
      </c>
      <c r="H4" s="18" t="s">
        <v>87</v>
      </c>
      <c r="I4" s="21"/>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8"/>
    </row>
    <row r="5" spans="2:45" s="7" customFormat="1" ht="15.75" x14ac:dyDescent="0.25">
      <c r="B5" s="46" t="s">
        <v>339</v>
      </c>
      <c r="C5" s="46" t="s">
        <v>108</v>
      </c>
      <c r="D5" s="31">
        <v>95000</v>
      </c>
      <c r="E5" s="29">
        <v>0.3</v>
      </c>
      <c r="F5" s="260">
        <v>0.5</v>
      </c>
      <c r="G5" s="12">
        <f>+(E5+1)*D5*F5</f>
        <v>61750</v>
      </c>
      <c r="H5" s="18" t="s">
        <v>344</v>
      </c>
      <c r="I5" s="21"/>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8"/>
    </row>
    <row r="6" spans="2:45" s="7" customFormat="1" ht="15.75" x14ac:dyDescent="0.25">
      <c r="B6" s="46" t="s">
        <v>339</v>
      </c>
      <c r="C6" s="46" t="s">
        <v>107</v>
      </c>
      <c r="D6" s="18">
        <v>80000</v>
      </c>
      <c r="E6" s="29">
        <v>0.3</v>
      </c>
      <c r="F6" s="260">
        <v>1</v>
      </c>
      <c r="G6" s="12">
        <f>+(E6+1)*D6*F6</f>
        <v>104000</v>
      </c>
      <c r="H6" s="18" t="s">
        <v>87</v>
      </c>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8"/>
    </row>
    <row r="7" spans="2:45" s="7" customFormat="1" ht="15.75" x14ac:dyDescent="0.25">
      <c r="B7" s="46" t="s">
        <v>339</v>
      </c>
      <c r="C7" s="46" t="s">
        <v>52</v>
      </c>
      <c r="D7" s="18">
        <v>80000</v>
      </c>
      <c r="E7" s="29">
        <v>0.3</v>
      </c>
      <c r="F7" s="260">
        <v>1</v>
      </c>
      <c r="G7" s="12">
        <f>+(E7+1)*D7*F7</f>
        <v>104000</v>
      </c>
      <c r="H7" s="18" t="s">
        <v>340</v>
      </c>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8"/>
    </row>
    <row r="8" spans="2:45" s="7" customFormat="1" ht="15.75" x14ac:dyDescent="0.25">
      <c r="B8" s="52"/>
      <c r="C8" s="325" t="s">
        <v>179</v>
      </c>
      <c r="D8" s="325"/>
      <c r="E8" s="325"/>
      <c r="F8" s="325"/>
      <c r="G8" s="53">
        <f>SUM(G4:G7)</f>
        <v>393250</v>
      </c>
      <c r="H8" s="53"/>
      <c r="I8" s="21"/>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8"/>
    </row>
    <row r="9" spans="2:45" s="7" customFormat="1" ht="15.75" x14ac:dyDescent="0.25">
      <c r="B9" s="52"/>
      <c r="C9" s="325" t="s">
        <v>374</v>
      </c>
      <c r="D9" s="325"/>
      <c r="E9" s="325"/>
      <c r="F9" s="325"/>
      <c r="G9" s="185">
        <f>+G8*0.15</f>
        <v>58987.5</v>
      </c>
      <c r="H9" s="185"/>
      <c r="I9" s="21"/>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8"/>
    </row>
    <row r="10" spans="2:45" s="7" customFormat="1" ht="15.75" x14ac:dyDescent="0.25">
      <c r="B10" s="322" t="s">
        <v>261</v>
      </c>
      <c r="C10" s="323"/>
      <c r="D10" s="323"/>
      <c r="E10" s="324"/>
      <c r="F10" s="43">
        <f>SUM(F4:F8)</f>
        <v>3.5</v>
      </c>
      <c r="G10" s="44">
        <f>+G8+G9</f>
        <v>452237.5</v>
      </c>
      <c r="H10" s="44"/>
      <c r="I10" s="21"/>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8"/>
    </row>
    <row r="11" spans="2:45" s="7" customFormat="1" ht="15.75" x14ac:dyDescent="0.25">
      <c r="H11" s="257"/>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8"/>
    </row>
    <row r="12" spans="2:45" s="7" customFormat="1" ht="15.75" x14ac:dyDescent="0.25">
      <c r="B12" s="186" t="s">
        <v>3</v>
      </c>
      <c r="C12" s="258"/>
      <c r="D12" s="258"/>
      <c r="E12" s="258"/>
      <c r="F12" s="258"/>
      <c r="G12" s="258"/>
      <c r="H12" s="258"/>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8"/>
    </row>
    <row r="13" spans="2:45" s="7" customFormat="1" ht="15.75" x14ac:dyDescent="0.25">
      <c r="B13" s="259" t="s">
        <v>343</v>
      </c>
      <c r="C13" s="259"/>
      <c r="D13" s="259"/>
      <c r="E13" s="259"/>
      <c r="F13" s="259"/>
      <c r="G13" s="259"/>
      <c r="H13" s="259"/>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8"/>
    </row>
    <row r="14" spans="2:45" s="7" customFormat="1" ht="15.75" x14ac:dyDescent="0.25">
      <c r="B14" s="259" t="s">
        <v>276</v>
      </c>
      <c r="C14" s="259"/>
      <c r="D14" s="259"/>
      <c r="E14" s="259"/>
      <c r="F14" s="259"/>
      <c r="G14" s="259"/>
      <c r="H14" s="259"/>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8"/>
    </row>
    <row r="15" spans="2:45" s="7" customFormat="1" ht="15.75" x14ac:dyDescent="0.25">
      <c r="B15" s="49" t="s">
        <v>342</v>
      </c>
      <c r="C15" s="259"/>
      <c r="D15" s="259"/>
      <c r="E15" s="259"/>
      <c r="F15" s="259"/>
      <c r="G15" s="259"/>
      <c r="H15" s="259"/>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8"/>
    </row>
    <row r="16" spans="2:45" s="7" customFormat="1" ht="15.75" x14ac:dyDescent="0.25">
      <c r="B16" s="259" t="s">
        <v>341</v>
      </c>
      <c r="C16" s="259"/>
      <c r="D16" s="259"/>
      <c r="E16" s="259"/>
      <c r="F16" s="259"/>
      <c r="G16" s="259"/>
      <c r="H16" s="259"/>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8"/>
    </row>
    <row r="17" spans="2:45" s="7" customFormat="1" ht="15.75" x14ac:dyDescent="0.25">
      <c r="B17" s="300" t="s">
        <v>336</v>
      </c>
      <c r="C17" s="302"/>
      <c r="D17" s="259"/>
      <c r="E17" s="259"/>
      <c r="F17" s="259"/>
      <c r="G17" s="259"/>
      <c r="H17" s="259"/>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8"/>
    </row>
    <row r="18" spans="2:45" ht="15.75" x14ac:dyDescent="0.25">
      <c r="B18" s="326"/>
      <c r="C18" s="327"/>
      <c r="D18" s="327"/>
      <c r="E18" s="327"/>
      <c r="F18" s="327"/>
      <c r="G18" s="327"/>
      <c r="H18" s="327"/>
      <c r="I18" s="10"/>
      <c r="J18" s="10"/>
    </row>
    <row r="19" spans="2:45" ht="15.75" x14ac:dyDescent="0.25">
      <c r="B19" s="259"/>
      <c r="C19" s="259"/>
      <c r="D19" s="259"/>
      <c r="E19" s="259"/>
      <c r="F19" s="259"/>
      <c r="G19" s="259"/>
      <c r="H19" s="259"/>
      <c r="I19" s="10"/>
      <c r="J19" s="10"/>
    </row>
    <row r="20" spans="2:45" ht="15.75" x14ac:dyDescent="0.25">
      <c r="B20" s="258"/>
      <c r="C20" s="259"/>
      <c r="D20" s="259"/>
      <c r="E20" s="259"/>
      <c r="F20" s="259"/>
      <c r="G20" s="259"/>
      <c r="H20" s="259"/>
      <c r="I20" s="10"/>
      <c r="J20" s="25"/>
    </row>
    <row r="21" spans="2:45" ht="7.5" customHeight="1" x14ac:dyDescent="0.25">
      <c r="B21" s="56"/>
      <c r="C21" s="49"/>
      <c r="D21" s="49"/>
      <c r="E21" s="49"/>
      <c r="F21" s="49"/>
      <c r="G21" s="49"/>
      <c r="H21" s="49"/>
      <c r="I21" s="25"/>
      <c r="J21" s="7"/>
    </row>
    <row r="22" spans="2:45" ht="15.75" x14ac:dyDescent="0.25">
      <c r="B22" s="56"/>
      <c r="C22" s="123"/>
      <c r="D22" s="123"/>
      <c r="E22" s="123"/>
      <c r="F22" s="123"/>
      <c r="G22" s="123"/>
      <c r="H22" s="123"/>
      <c r="I22" s="7"/>
      <c r="J22" s="7"/>
    </row>
    <row r="23" spans="2:45" ht="15.75" x14ac:dyDescent="0.25">
      <c r="B23" s="56"/>
      <c r="C23" s="58"/>
      <c r="D23" s="127"/>
      <c r="E23" s="127"/>
      <c r="F23" s="127"/>
      <c r="G23" s="125"/>
      <c r="H23" s="125"/>
      <c r="I23" s="7"/>
      <c r="J23" s="7"/>
    </row>
    <row r="24" spans="2:45" ht="15.75" x14ac:dyDescent="0.25">
      <c r="B24" s="300"/>
      <c r="C24" s="302"/>
      <c r="D24" s="255"/>
      <c r="E24" s="255"/>
      <c r="F24" s="255"/>
      <c r="G24" s="255"/>
      <c r="H24" s="255"/>
      <c r="I24" s="7"/>
    </row>
    <row r="25" spans="2:45" x14ac:dyDescent="0.2">
      <c r="B25" s="300"/>
      <c r="C25" s="302"/>
      <c r="D25" s="256"/>
      <c r="E25" s="256"/>
      <c r="F25" s="256"/>
      <c r="G25" s="256"/>
      <c r="H25" s="256"/>
    </row>
    <row r="26" spans="2:45" x14ac:dyDescent="0.2">
      <c r="B26" s="57" t="s">
        <v>88</v>
      </c>
      <c r="C26" s="58">
        <f t="shared" ref="C26:C31" si="0">SUMIF($B$4:$B$7,B26,$G$4:$G$7)</f>
        <v>0</v>
      </c>
      <c r="D26" s="125"/>
      <c r="E26" s="125"/>
      <c r="F26" s="125"/>
      <c r="G26" s="125"/>
      <c r="H26" s="125"/>
    </row>
    <row r="27" spans="2:45" x14ac:dyDescent="0.2">
      <c r="B27" s="57" t="s">
        <v>38</v>
      </c>
      <c r="C27" s="58">
        <f t="shared" si="0"/>
        <v>0</v>
      </c>
      <c r="D27" s="125"/>
      <c r="E27" s="125"/>
      <c r="F27" s="125"/>
      <c r="G27" s="125"/>
      <c r="H27" s="125"/>
    </row>
    <row r="28" spans="2:45" x14ac:dyDescent="0.2">
      <c r="B28" s="57" t="s">
        <v>188</v>
      </c>
      <c r="C28" s="58">
        <f t="shared" si="0"/>
        <v>0</v>
      </c>
      <c r="D28" s="125"/>
      <c r="E28" s="125"/>
      <c r="F28" s="125"/>
      <c r="G28" s="125"/>
      <c r="H28" s="125"/>
    </row>
    <row r="29" spans="2:45" x14ac:dyDescent="0.2">
      <c r="B29" s="57" t="s">
        <v>189</v>
      </c>
      <c r="C29" s="58">
        <f t="shared" si="0"/>
        <v>0</v>
      </c>
      <c r="D29" s="123"/>
      <c r="E29" s="123"/>
      <c r="F29" s="123"/>
      <c r="G29" s="123"/>
      <c r="H29" s="123"/>
    </row>
    <row r="30" spans="2:45" x14ac:dyDescent="0.2">
      <c r="B30" s="57" t="s">
        <v>124</v>
      </c>
      <c r="C30" s="58">
        <f t="shared" si="0"/>
        <v>0</v>
      </c>
      <c r="D30" s="123"/>
      <c r="E30" s="123"/>
      <c r="F30" s="123"/>
      <c r="G30" s="123"/>
      <c r="H30" s="123"/>
    </row>
    <row r="31" spans="2:45" x14ac:dyDescent="0.2">
      <c r="B31" s="57" t="s">
        <v>9</v>
      </c>
      <c r="C31" s="58">
        <f t="shared" si="0"/>
        <v>0</v>
      </c>
      <c r="D31" s="123"/>
      <c r="E31" s="123"/>
      <c r="F31" s="123"/>
      <c r="G31" s="123"/>
      <c r="H31" s="123"/>
    </row>
    <row r="32" spans="2:45" x14ac:dyDescent="0.2">
      <c r="B32" s="126"/>
      <c r="C32" s="126"/>
      <c r="D32" s="123"/>
      <c r="E32" s="123"/>
      <c r="F32" s="123"/>
      <c r="G32" s="123"/>
      <c r="H32" s="123"/>
      <c r="I32" s="124"/>
    </row>
    <row r="33" spans="1:48" x14ac:dyDescent="0.2">
      <c r="A33" s="126"/>
      <c r="B33" s="123"/>
      <c r="C33" s="123"/>
      <c r="D33" s="123"/>
      <c r="E33" s="123"/>
      <c r="F33" s="123"/>
      <c r="G33" s="123"/>
      <c r="H33" s="123"/>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row>
    <row r="34" spans="1:48" x14ac:dyDescent="0.2">
      <c r="A34" s="126"/>
      <c r="B34" s="123"/>
      <c r="C34" s="123"/>
      <c r="D34" s="123"/>
      <c r="E34" s="123"/>
      <c r="F34" s="123"/>
      <c r="G34" s="123"/>
      <c r="H34" s="123"/>
      <c r="I34" s="256"/>
      <c r="J34" s="256"/>
      <c r="K34" s="256"/>
      <c r="L34" s="256"/>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row>
    <row r="35" spans="1:48" x14ac:dyDescent="0.2">
      <c r="A35" s="126"/>
      <c r="B35" s="123"/>
      <c r="C35" s="123"/>
      <c r="D35" s="123"/>
      <c r="E35" s="123"/>
      <c r="F35" s="123"/>
      <c r="G35" s="123"/>
      <c r="I35" s="124"/>
    </row>
    <row r="36" spans="1:48" x14ac:dyDescent="0.2">
      <c r="A36" s="126"/>
      <c r="B36" s="123"/>
      <c r="C36" s="123"/>
      <c r="D36" s="123"/>
      <c r="E36" s="123"/>
      <c r="F36" s="123"/>
      <c r="G36" s="123"/>
      <c r="I36" s="124"/>
    </row>
    <row r="37" spans="1:48" x14ac:dyDescent="0.2">
      <c r="A37" s="126"/>
      <c r="B37" s="123"/>
      <c r="C37" s="123"/>
      <c r="D37" s="123"/>
      <c r="E37" s="123"/>
      <c r="F37" s="123"/>
      <c r="G37" s="123"/>
      <c r="I37" s="124"/>
    </row>
    <row r="38" spans="1:48" x14ac:dyDescent="0.2">
      <c r="A38" s="126"/>
      <c r="B38" s="123"/>
      <c r="C38" s="123"/>
      <c r="D38" s="123"/>
      <c r="E38" s="123"/>
      <c r="F38" s="123"/>
      <c r="G38" s="123"/>
      <c r="I38" s="124"/>
    </row>
    <row r="39" spans="1:48" x14ac:dyDescent="0.2">
      <c r="A39" s="126"/>
      <c r="B39" s="123"/>
      <c r="C39" s="123"/>
      <c r="D39" s="123"/>
      <c r="E39" s="123"/>
      <c r="F39" s="123"/>
      <c r="G39" s="123"/>
      <c r="I39" s="124"/>
      <c r="J39"/>
      <c r="K39"/>
    </row>
    <row r="40" spans="1:48" x14ac:dyDescent="0.2">
      <c r="A40" s="126"/>
      <c r="D40" s="123"/>
      <c r="E40" s="123"/>
      <c r="F40" s="123"/>
      <c r="G40" s="123"/>
      <c r="I40" s="124"/>
      <c r="J40"/>
      <c r="K40"/>
    </row>
    <row r="41" spans="1:48" x14ac:dyDescent="0.2">
      <c r="A41" s="126"/>
      <c r="I41" s="124"/>
      <c r="J41"/>
      <c r="K41"/>
    </row>
    <row r="42" spans="1:48" x14ac:dyDescent="0.2">
      <c r="A42" s="126"/>
      <c r="I42" s="124"/>
      <c r="J42"/>
      <c r="K42"/>
    </row>
    <row r="43" spans="1:48" x14ac:dyDescent="0.2">
      <c r="I43" s="124"/>
      <c r="J43"/>
      <c r="K43"/>
    </row>
    <row r="44" spans="1:48" x14ac:dyDescent="0.2">
      <c r="I44" s="124"/>
      <c r="J44"/>
      <c r="K44"/>
    </row>
    <row r="45" spans="1:48" x14ac:dyDescent="0.2">
      <c r="I45"/>
      <c r="J45"/>
      <c r="K45"/>
    </row>
    <row r="46" spans="1:48" x14ac:dyDescent="0.2">
      <c r="I46"/>
      <c r="J46"/>
      <c r="K46"/>
    </row>
    <row r="47" spans="1:48" x14ac:dyDescent="0.2">
      <c r="I47"/>
    </row>
  </sheetData>
  <mergeCells count="7">
    <mergeCell ref="B25:C25"/>
    <mergeCell ref="B17:C17"/>
    <mergeCell ref="C8:F8"/>
    <mergeCell ref="C9:F9"/>
    <mergeCell ref="B10:E10"/>
    <mergeCell ref="B18:H18"/>
    <mergeCell ref="B24:C24"/>
  </mergeCells>
  <hyperlinks>
    <hyperlink ref="C1" location="Summary!A1" display="Return to Summary Sheet"/>
  </hyperlinks>
  <printOptions horizontalCentered="1" verticalCentered="1"/>
  <pageMargins left="0.2" right="0.2" top="0.75" bottom="0.75" header="0.3" footer="0.3"/>
  <pageSetup paperSize="5"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8"/>
  <sheetViews>
    <sheetView showGridLines="0" topLeftCell="B1" zoomScaleNormal="100" workbookViewId="0">
      <selection activeCell="I10" sqref="I10"/>
    </sheetView>
  </sheetViews>
  <sheetFormatPr defaultRowHeight="14.25" x14ac:dyDescent="0.2"/>
  <cols>
    <col min="1" max="1" width="2.7109375" customWidth="1"/>
    <col min="2" max="2" width="2.140625" customWidth="1"/>
    <col min="3" max="3" width="23.7109375" style="239" customWidth="1"/>
    <col min="4" max="4" width="17.85546875" style="239" customWidth="1"/>
    <col min="5" max="5" width="15.42578125" style="239" customWidth="1"/>
    <col min="6" max="6" width="60.28515625" style="239" customWidth="1"/>
    <col min="7" max="7" width="3.140625" customWidth="1"/>
    <col min="8" max="8" width="22.5703125" customWidth="1"/>
    <col min="9" max="9" width="11.28515625" style="214" customWidth="1"/>
    <col min="10" max="10" width="13.5703125" style="214" customWidth="1"/>
    <col min="11" max="17" width="12" style="214" customWidth="1"/>
    <col min="18" max="18" width="13.5703125" style="214" customWidth="1"/>
    <col min="19" max="58" width="12" style="214" customWidth="1"/>
    <col min="59" max="60" width="9.140625" customWidth="1"/>
  </cols>
  <sheetData>
    <row r="1" spans="2:60" ht="23.25" x14ac:dyDescent="0.35">
      <c r="B1" s="328" t="s">
        <v>280</v>
      </c>
      <c r="C1" s="328"/>
      <c r="D1" s="328"/>
      <c r="E1" s="328"/>
      <c r="F1" s="328"/>
      <c r="G1" s="330" t="s">
        <v>145</v>
      </c>
      <c r="H1" s="330"/>
      <c r="I1" s="330"/>
      <c r="J1" s="330"/>
      <c r="K1" s="70"/>
    </row>
    <row r="2" spans="2:60" ht="24" thickBot="1" x14ac:dyDescent="0.4">
      <c r="B2" s="329" t="s">
        <v>281</v>
      </c>
      <c r="C2" s="329"/>
      <c r="D2" s="329"/>
      <c r="E2" s="329"/>
      <c r="F2" s="329"/>
    </row>
    <row r="3" spans="2:60" ht="15.75" thickTop="1" x14ac:dyDescent="0.25">
      <c r="B3" s="65"/>
      <c r="C3" s="241" t="s">
        <v>282</v>
      </c>
      <c r="D3" s="242" t="s">
        <v>283</v>
      </c>
      <c r="E3" s="242" t="s">
        <v>14</v>
      </c>
      <c r="F3" s="235" t="s">
        <v>284</v>
      </c>
      <c r="G3" s="226" t="s">
        <v>145</v>
      </c>
    </row>
    <row r="4" spans="2:60" ht="240" x14ac:dyDescent="0.2">
      <c r="B4" s="66"/>
      <c r="C4" s="243" t="s">
        <v>285</v>
      </c>
      <c r="D4" s="244">
        <f>200000</f>
        <v>200000</v>
      </c>
      <c r="E4" s="243" t="s">
        <v>286</v>
      </c>
      <c r="F4" s="236" t="s">
        <v>377</v>
      </c>
    </row>
    <row r="5" spans="2:60" ht="15" x14ac:dyDescent="0.2">
      <c r="B5" s="67"/>
      <c r="C5" s="237" t="s">
        <v>287</v>
      </c>
      <c r="D5" s="240">
        <v>200000</v>
      </c>
      <c r="E5" s="237" t="s">
        <v>288</v>
      </c>
      <c r="F5" s="237" t="s">
        <v>289</v>
      </c>
      <c r="I5" s="214">
        <v>1</v>
      </c>
      <c r="J5" s="214">
        <v>2</v>
      </c>
      <c r="K5" s="214">
        <f>+J5+1</f>
        <v>3</v>
      </c>
      <c r="L5" s="214">
        <f t="shared" ref="L5:BF5" si="0">+K5+1</f>
        <v>4</v>
      </c>
      <c r="M5" s="214">
        <f t="shared" si="0"/>
        <v>5</v>
      </c>
      <c r="N5" s="214">
        <f t="shared" si="0"/>
        <v>6</v>
      </c>
      <c r="O5" s="214">
        <f t="shared" si="0"/>
        <v>7</v>
      </c>
      <c r="P5" s="214">
        <f t="shared" si="0"/>
        <v>8</v>
      </c>
      <c r="Q5" s="214">
        <f t="shared" si="0"/>
        <v>9</v>
      </c>
      <c r="R5" s="214">
        <f t="shared" si="0"/>
        <v>10</v>
      </c>
      <c r="S5" s="214">
        <f t="shared" si="0"/>
        <v>11</v>
      </c>
      <c r="T5" s="214">
        <f t="shared" si="0"/>
        <v>12</v>
      </c>
      <c r="U5" s="214">
        <f t="shared" si="0"/>
        <v>13</v>
      </c>
      <c r="V5" s="214">
        <f t="shared" si="0"/>
        <v>14</v>
      </c>
      <c r="W5" s="214">
        <f t="shared" si="0"/>
        <v>15</v>
      </c>
      <c r="X5" s="214">
        <f t="shared" si="0"/>
        <v>16</v>
      </c>
      <c r="Y5" s="214">
        <f t="shared" si="0"/>
        <v>17</v>
      </c>
      <c r="Z5" s="214">
        <f t="shared" si="0"/>
        <v>18</v>
      </c>
      <c r="AA5" s="214">
        <f t="shared" si="0"/>
        <v>19</v>
      </c>
      <c r="AB5" s="214">
        <f t="shared" si="0"/>
        <v>20</v>
      </c>
      <c r="AC5" s="214">
        <f t="shared" si="0"/>
        <v>21</v>
      </c>
      <c r="AD5" s="214">
        <f t="shared" si="0"/>
        <v>22</v>
      </c>
      <c r="AE5" s="214">
        <f t="shared" si="0"/>
        <v>23</v>
      </c>
      <c r="AF5" s="214">
        <f t="shared" si="0"/>
        <v>24</v>
      </c>
      <c r="AG5" s="214">
        <f t="shared" si="0"/>
        <v>25</v>
      </c>
      <c r="AH5" s="214">
        <f t="shared" si="0"/>
        <v>26</v>
      </c>
      <c r="AI5" s="214">
        <f t="shared" si="0"/>
        <v>27</v>
      </c>
      <c r="AJ5" s="214">
        <f t="shared" si="0"/>
        <v>28</v>
      </c>
      <c r="AK5" s="214">
        <f t="shared" si="0"/>
        <v>29</v>
      </c>
      <c r="AL5" s="214">
        <f t="shared" si="0"/>
        <v>30</v>
      </c>
      <c r="AM5" s="214">
        <f t="shared" si="0"/>
        <v>31</v>
      </c>
      <c r="AN5" s="214">
        <f t="shared" si="0"/>
        <v>32</v>
      </c>
      <c r="AO5" s="214">
        <f t="shared" si="0"/>
        <v>33</v>
      </c>
      <c r="AP5" s="214">
        <f t="shared" si="0"/>
        <v>34</v>
      </c>
      <c r="AQ5" s="214">
        <f t="shared" si="0"/>
        <v>35</v>
      </c>
      <c r="AR5" s="214">
        <f t="shared" si="0"/>
        <v>36</v>
      </c>
      <c r="AS5" s="214">
        <f t="shared" si="0"/>
        <v>37</v>
      </c>
      <c r="AT5" s="214">
        <f t="shared" si="0"/>
        <v>38</v>
      </c>
      <c r="AU5" s="214">
        <f t="shared" si="0"/>
        <v>39</v>
      </c>
      <c r="AV5" s="214">
        <f t="shared" si="0"/>
        <v>40</v>
      </c>
      <c r="AW5" s="214">
        <f t="shared" si="0"/>
        <v>41</v>
      </c>
      <c r="AX5" s="214">
        <f t="shared" si="0"/>
        <v>42</v>
      </c>
      <c r="AY5" s="214">
        <f t="shared" si="0"/>
        <v>43</v>
      </c>
      <c r="AZ5" s="214">
        <f t="shared" si="0"/>
        <v>44</v>
      </c>
      <c r="BA5" s="214">
        <f t="shared" si="0"/>
        <v>45</v>
      </c>
      <c r="BB5" s="214">
        <f t="shared" si="0"/>
        <v>46</v>
      </c>
      <c r="BC5" s="214">
        <f t="shared" si="0"/>
        <v>47</v>
      </c>
      <c r="BD5" s="214">
        <f t="shared" si="0"/>
        <v>48</v>
      </c>
      <c r="BE5" s="214">
        <f t="shared" si="0"/>
        <v>49</v>
      </c>
      <c r="BF5" s="214">
        <f t="shared" si="0"/>
        <v>50</v>
      </c>
    </row>
    <row r="6" spans="2:60" ht="15" x14ac:dyDescent="0.2">
      <c r="B6" s="68"/>
      <c r="C6" s="238" t="s">
        <v>379</v>
      </c>
      <c r="D6" s="277"/>
      <c r="E6" s="278"/>
      <c r="F6" s="278"/>
      <c r="G6" s="226" t="s">
        <v>145</v>
      </c>
      <c r="H6" s="69" t="s">
        <v>378</v>
      </c>
      <c r="I6" s="231">
        <v>300000</v>
      </c>
      <c r="J6" s="231">
        <v>300000</v>
      </c>
      <c r="K6" s="231">
        <v>200000</v>
      </c>
      <c r="L6" s="231">
        <v>200000</v>
      </c>
      <c r="M6" s="231">
        <v>200000</v>
      </c>
      <c r="N6" s="231">
        <v>200000</v>
      </c>
      <c r="O6" s="231">
        <v>200000</v>
      </c>
      <c r="P6" s="231">
        <v>200000</v>
      </c>
      <c r="Q6" s="231">
        <v>200000</v>
      </c>
      <c r="R6" s="231">
        <v>200000</v>
      </c>
      <c r="S6" s="231">
        <v>200000</v>
      </c>
      <c r="T6" s="231">
        <v>200000</v>
      </c>
      <c r="U6" s="231">
        <v>200000</v>
      </c>
      <c r="V6" s="231">
        <v>200000</v>
      </c>
      <c r="W6" s="231">
        <v>200000</v>
      </c>
      <c r="X6" s="231">
        <v>200000</v>
      </c>
      <c r="Y6" s="231">
        <v>200000</v>
      </c>
      <c r="Z6" s="231">
        <v>200000</v>
      </c>
      <c r="AA6" s="231">
        <v>200000</v>
      </c>
      <c r="AB6" s="231">
        <v>200000</v>
      </c>
      <c r="AC6" s="231">
        <v>200000</v>
      </c>
      <c r="AD6" s="231">
        <v>200000</v>
      </c>
      <c r="AE6" s="231">
        <v>200000</v>
      </c>
      <c r="AF6" s="231">
        <v>200000</v>
      </c>
      <c r="AG6" s="231">
        <v>200000</v>
      </c>
      <c r="AH6" s="231">
        <v>200000</v>
      </c>
      <c r="AI6" s="231">
        <v>200000</v>
      </c>
      <c r="AJ6" s="231">
        <v>200000</v>
      </c>
      <c r="AK6" s="231">
        <v>200000</v>
      </c>
      <c r="AL6" s="231">
        <v>200000</v>
      </c>
      <c r="AM6" s="231">
        <v>200000</v>
      </c>
      <c r="AN6" s="231">
        <v>200000</v>
      </c>
      <c r="AO6" s="231">
        <v>200000</v>
      </c>
      <c r="AP6" s="231">
        <v>200000</v>
      </c>
      <c r="AQ6" s="231">
        <v>200000</v>
      </c>
      <c r="AR6" s="231">
        <v>200000</v>
      </c>
      <c r="AS6" s="231">
        <v>200000</v>
      </c>
      <c r="AT6" s="231">
        <v>200000</v>
      </c>
      <c r="AU6" s="231">
        <v>200000</v>
      </c>
      <c r="AV6" s="231">
        <v>200000</v>
      </c>
      <c r="AW6" s="231">
        <v>200000</v>
      </c>
      <c r="AX6" s="231">
        <v>200000</v>
      </c>
      <c r="AY6" s="231">
        <v>200000</v>
      </c>
      <c r="AZ6" s="231">
        <v>200000</v>
      </c>
      <c r="BA6" s="231">
        <v>200000</v>
      </c>
      <c r="BB6" s="231">
        <v>200000</v>
      </c>
      <c r="BC6" s="231">
        <v>200000</v>
      </c>
      <c r="BD6" s="231">
        <v>200000</v>
      </c>
      <c r="BE6" s="231">
        <v>200000</v>
      </c>
      <c r="BF6" s="231">
        <v>200000</v>
      </c>
    </row>
    <row r="7" spans="2:60" ht="15" x14ac:dyDescent="0.2">
      <c r="B7" s="66"/>
      <c r="C7" s="243" t="s">
        <v>320</v>
      </c>
      <c r="D7" s="244">
        <v>120000</v>
      </c>
      <c r="E7" s="243" t="s">
        <v>291</v>
      </c>
      <c r="F7" s="236" t="s">
        <v>321</v>
      </c>
      <c r="H7" s="69" t="s">
        <v>287</v>
      </c>
      <c r="I7" s="231">
        <v>0</v>
      </c>
      <c r="J7" s="231">
        <v>0</v>
      </c>
      <c r="K7" s="231">
        <v>0</v>
      </c>
      <c r="L7" s="231">
        <v>0</v>
      </c>
      <c r="M7" s="231">
        <v>0</v>
      </c>
      <c r="N7" s="231">
        <v>0</v>
      </c>
      <c r="O7" s="231">
        <v>0</v>
      </c>
      <c r="P7" s="231">
        <v>0</v>
      </c>
      <c r="Q7" s="231">
        <v>0</v>
      </c>
      <c r="R7" s="231">
        <v>200000</v>
      </c>
      <c r="S7" s="231">
        <v>0</v>
      </c>
      <c r="T7" s="231">
        <v>0</v>
      </c>
      <c r="U7" s="231">
        <v>0</v>
      </c>
      <c r="V7" s="231">
        <v>0</v>
      </c>
      <c r="W7" s="231">
        <v>0</v>
      </c>
      <c r="X7" s="231">
        <v>0</v>
      </c>
      <c r="Y7" s="231">
        <v>0</v>
      </c>
      <c r="Z7" s="231">
        <v>0</v>
      </c>
      <c r="AA7" s="231">
        <v>0</v>
      </c>
      <c r="AB7" s="231">
        <v>200000</v>
      </c>
      <c r="AC7" s="231">
        <v>0</v>
      </c>
      <c r="AD7" s="231">
        <v>0</v>
      </c>
      <c r="AE7" s="231">
        <v>0</v>
      </c>
      <c r="AF7" s="231">
        <v>0</v>
      </c>
      <c r="AG7" s="231">
        <v>0</v>
      </c>
      <c r="AH7" s="231">
        <v>0</v>
      </c>
      <c r="AI7" s="231">
        <v>0</v>
      </c>
      <c r="AJ7" s="231">
        <v>0</v>
      </c>
      <c r="AK7" s="231">
        <v>0</v>
      </c>
      <c r="AL7" s="231">
        <v>200000</v>
      </c>
      <c r="AM7" s="231">
        <v>0</v>
      </c>
      <c r="AN7" s="231">
        <v>0</v>
      </c>
      <c r="AO7" s="231">
        <v>0</v>
      </c>
      <c r="AP7" s="231">
        <v>0</v>
      </c>
      <c r="AQ7" s="231">
        <v>0</v>
      </c>
      <c r="AR7" s="231">
        <v>0</v>
      </c>
      <c r="AS7" s="231">
        <v>0</v>
      </c>
      <c r="AT7" s="231">
        <v>0</v>
      </c>
      <c r="AU7" s="231">
        <v>0</v>
      </c>
      <c r="AV7" s="231">
        <v>200000</v>
      </c>
      <c r="AW7" s="231">
        <v>0</v>
      </c>
      <c r="AX7" s="231">
        <v>0</v>
      </c>
      <c r="AY7" s="231">
        <v>0</v>
      </c>
      <c r="AZ7" s="231">
        <v>0</v>
      </c>
      <c r="BA7" s="231">
        <v>0</v>
      </c>
      <c r="BB7" s="231">
        <v>0</v>
      </c>
      <c r="BC7" s="231">
        <v>0</v>
      </c>
      <c r="BD7" s="231">
        <v>0</v>
      </c>
      <c r="BE7" s="231">
        <v>0</v>
      </c>
      <c r="BF7" s="231">
        <v>200000</v>
      </c>
    </row>
    <row r="8" spans="2:60" ht="15" x14ac:dyDescent="0.2">
      <c r="B8" s="66"/>
      <c r="C8" s="243" t="s">
        <v>292</v>
      </c>
      <c r="D8" s="245">
        <v>3</v>
      </c>
      <c r="E8" s="243" t="s">
        <v>293</v>
      </c>
      <c r="F8" s="236"/>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row>
    <row r="9" spans="2:60" ht="15" x14ac:dyDescent="0.2">
      <c r="B9" s="66"/>
      <c r="C9" s="243" t="s">
        <v>318</v>
      </c>
      <c r="D9" s="245">
        <v>2</v>
      </c>
      <c r="E9" s="243" t="s">
        <v>37</v>
      </c>
      <c r="F9" s="236"/>
      <c r="H9" s="232" t="s">
        <v>295</v>
      </c>
      <c r="I9" s="231">
        <f>D12</f>
        <v>1247500</v>
      </c>
      <c r="J9" s="231">
        <f>I9</f>
        <v>1247500</v>
      </c>
      <c r="K9" s="231">
        <v>0</v>
      </c>
      <c r="L9" s="231">
        <f>D12</f>
        <v>1247500</v>
      </c>
      <c r="M9" s="231">
        <v>0</v>
      </c>
      <c r="N9" s="231">
        <f>D12</f>
        <v>1247500</v>
      </c>
      <c r="O9" s="231">
        <v>0</v>
      </c>
      <c r="P9" s="231">
        <f>D12</f>
        <v>1247500</v>
      </c>
      <c r="Q9" s="231">
        <v>0</v>
      </c>
      <c r="R9" s="231">
        <f>D12</f>
        <v>1247500</v>
      </c>
      <c r="S9" s="231">
        <v>0</v>
      </c>
      <c r="T9" s="231">
        <f>D12</f>
        <v>1247500</v>
      </c>
      <c r="U9" s="231">
        <v>0</v>
      </c>
      <c r="V9" s="231">
        <v>0</v>
      </c>
      <c r="W9" s="231">
        <v>0</v>
      </c>
      <c r="X9" s="231">
        <v>0</v>
      </c>
      <c r="Y9" s="231">
        <f>D12</f>
        <v>1247500</v>
      </c>
      <c r="Z9" s="231">
        <v>0</v>
      </c>
      <c r="AA9" s="231">
        <v>0</v>
      </c>
      <c r="AB9" s="231">
        <v>0</v>
      </c>
      <c r="AC9" s="231">
        <v>0</v>
      </c>
      <c r="AD9" s="231">
        <f>D12</f>
        <v>1247500</v>
      </c>
      <c r="AE9" s="231">
        <v>0</v>
      </c>
      <c r="AF9" s="231">
        <v>0</v>
      </c>
      <c r="AG9" s="231">
        <v>0</v>
      </c>
      <c r="AH9" s="231">
        <v>0</v>
      </c>
      <c r="AI9" s="231">
        <f>D12</f>
        <v>1247500</v>
      </c>
      <c r="AJ9" s="231">
        <v>0</v>
      </c>
      <c r="AK9" s="231">
        <v>0</v>
      </c>
      <c r="AL9" s="231">
        <v>0</v>
      </c>
      <c r="AM9" s="231">
        <v>0</v>
      </c>
      <c r="AN9" s="231">
        <f>D12</f>
        <v>1247500</v>
      </c>
      <c r="AO9" s="231">
        <v>0</v>
      </c>
      <c r="AP9" s="231">
        <v>0</v>
      </c>
      <c r="AQ9" s="231">
        <v>0</v>
      </c>
      <c r="AR9" s="231">
        <v>0</v>
      </c>
      <c r="AS9" s="231">
        <f>D12</f>
        <v>1247500</v>
      </c>
      <c r="AT9" s="231">
        <v>0</v>
      </c>
      <c r="AU9" s="231">
        <v>0</v>
      </c>
      <c r="AV9" s="231">
        <v>0</v>
      </c>
      <c r="AW9" s="231">
        <v>0</v>
      </c>
      <c r="AX9" s="231">
        <f>D12</f>
        <v>1247500</v>
      </c>
      <c r="AY9" s="231">
        <v>0</v>
      </c>
      <c r="AZ9" s="231">
        <v>0</v>
      </c>
      <c r="BA9" s="231">
        <v>0</v>
      </c>
      <c r="BB9" s="231">
        <v>0</v>
      </c>
      <c r="BC9" s="231">
        <f>D12</f>
        <v>1247500</v>
      </c>
      <c r="BD9" s="231">
        <v>0</v>
      </c>
      <c r="BE9" s="231">
        <v>0</v>
      </c>
      <c r="BF9" s="231">
        <v>0</v>
      </c>
      <c r="BG9" s="129" t="s">
        <v>145</v>
      </c>
      <c r="BH9" s="129" t="s">
        <v>145</v>
      </c>
    </row>
    <row r="10" spans="2:60" ht="15" x14ac:dyDescent="0.2">
      <c r="B10" s="66"/>
      <c r="C10" s="243" t="s">
        <v>294</v>
      </c>
      <c r="D10" s="245">
        <v>3</v>
      </c>
      <c r="E10" s="243" t="s">
        <v>293</v>
      </c>
      <c r="F10" s="236"/>
      <c r="H10" s="233" t="s">
        <v>2</v>
      </c>
      <c r="I10" s="234">
        <f t="shared" ref="I10:AN10" si="1">SUM(I6:I9)</f>
        <v>1547500</v>
      </c>
      <c r="J10" s="234">
        <f t="shared" si="1"/>
        <v>1547500</v>
      </c>
      <c r="K10" s="234">
        <f t="shared" si="1"/>
        <v>200000</v>
      </c>
      <c r="L10" s="234">
        <f t="shared" si="1"/>
        <v>1447500</v>
      </c>
      <c r="M10" s="234">
        <f t="shared" si="1"/>
        <v>200000</v>
      </c>
      <c r="N10" s="234">
        <f t="shared" si="1"/>
        <v>1447500</v>
      </c>
      <c r="O10" s="234">
        <f t="shared" si="1"/>
        <v>200000</v>
      </c>
      <c r="P10" s="234">
        <f t="shared" si="1"/>
        <v>1447500</v>
      </c>
      <c r="Q10" s="234">
        <f t="shared" si="1"/>
        <v>200000</v>
      </c>
      <c r="R10" s="234">
        <f t="shared" si="1"/>
        <v>1647500</v>
      </c>
      <c r="S10" s="234">
        <f t="shared" si="1"/>
        <v>200000</v>
      </c>
      <c r="T10" s="234">
        <f t="shared" si="1"/>
        <v>1447500</v>
      </c>
      <c r="U10" s="234">
        <f t="shared" si="1"/>
        <v>200000</v>
      </c>
      <c r="V10" s="234">
        <f t="shared" si="1"/>
        <v>200000</v>
      </c>
      <c r="W10" s="234">
        <f t="shared" si="1"/>
        <v>200000</v>
      </c>
      <c r="X10" s="234">
        <f t="shared" si="1"/>
        <v>200000</v>
      </c>
      <c r="Y10" s="234">
        <f t="shared" si="1"/>
        <v>1447500</v>
      </c>
      <c r="Z10" s="234">
        <f t="shared" si="1"/>
        <v>200000</v>
      </c>
      <c r="AA10" s="234">
        <f t="shared" si="1"/>
        <v>200000</v>
      </c>
      <c r="AB10" s="234">
        <f t="shared" si="1"/>
        <v>400000</v>
      </c>
      <c r="AC10" s="234">
        <f t="shared" si="1"/>
        <v>200000</v>
      </c>
      <c r="AD10" s="234">
        <f t="shared" si="1"/>
        <v>1447500</v>
      </c>
      <c r="AE10" s="234">
        <f t="shared" si="1"/>
        <v>200000</v>
      </c>
      <c r="AF10" s="234">
        <f t="shared" si="1"/>
        <v>200000</v>
      </c>
      <c r="AG10" s="234">
        <f t="shared" si="1"/>
        <v>200000</v>
      </c>
      <c r="AH10" s="234">
        <f t="shared" si="1"/>
        <v>200000</v>
      </c>
      <c r="AI10" s="234">
        <f t="shared" si="1"/>
        <v>1447500</v>
      </c>
      <c r="AJ10" s="234">
        <f t="shared" si="1"/>
        <v>200000</v>
      </c>
      <c r="AK10" s="234">
        <f t="shared" si="1"/>
        <v>200000</v>
      </c>
      <c r="AL10" s="234">
        <f t="shared" si="1"/>
        <v>400000</v>
      </c>
      <c r="AM10" s="234">
        <f t="shared" si="1"/>
        <v>200000</v>
      </c>
      <c r="AN10" s="234">
        <f t="shared" si="1"/>
        <v>1447500</v>
      </c>
      <c r="AO10" s="234">
        <f t="shared" ref="AO10:BF10" si="2">SUM(AO6:AO9)</f>
        <v>200000</v>
      </c>
      <c r="AP10" s="234">
        <f t="shared" si="2"/>
        <v>200000</v>
      </c>
      <c r="AQ10" s="234">
        <f t="shared" si="2"/>
        <v>200000</v>
      </c>
      <c r="AR10" s="234">
        <f t="shared" si="2"/>
        <v>200000</v>
      </c>
      <c r="AS10" s="234">
        <f t="shared" si="2"/>
        <v>1447500</v>
      </c>
      <c r="AT10" s="234">
        <f t="shared" si="2"/>
        <v>200000</v>
      </c>
      <c r="AU10" s="234">
        <f t="shared" si="2"/>
        <v>200000</v>
      </c>
      <c r="AV10" s="234">
        <f t="shared" si="2"/>
        <v>400000</v>
      </c>
      <c r="AW10" s="234">
        <f t="shared" si="2"/>
        <v>200000</v>
      </c>
      <c r="AX10" s="234">
        <f t="shared" si="2"/>
        <v>1447500</v>
      </c>
      <c r="AY10" s="234">
        <f t="shared" si="2"/>
        <v>200000</v>
      </c>
      <c r="AZ10" s="234">
        <f t="shared" si="2"/>
        <v>200000</v>
      </c>
      <c r="BA10" s="234">
        <f t="shared" si="2"/>
        <v>200000</v>
      </c>
      <c r="BB10" s="234">
        <f t="shared" si="2"/>
        <v>200000</v>
      </c>
      <c r="BC10" s="234">
        <f t="shared" si="2"/>
        <v>1447500</v>
      </c>
      <c r="BD10" s="234">
        <f t="shared" si="2"/>
        <v>200000</v>
      </c>
      <c r="BE10" s="234">
        <f t="shared" si="2"/>
        <v>200000</v>
      </c>
      <c r="BF10" s="234">
        <f t="shared" si="2"/>
        <v>400000</v>
      </c>
    </row>
    <row r="11" spans="2:60" ht="15" x14ac:dyDescent="0.2">
      <c r="B11" s="66"/>
      <c r="C11" s="243" t="s">
        <v>322</v>
      </c>
      <c r="D11" s="244">
        <v>250000</v>
      </c>
      <c r="E11" s="243" t="s">
        <v>323</v>
      </c>
      <c r="F11" s="236" t="s">
        <v>324</v>
      </c>
      <c r="H11" s="129"/>
    </row>
    <row r="12" spans="2:60" ht="45" x14ac:dyDescent="0.2">
      <c r="B12" s="68"/>
      <c r="C12" s="238" t="s">
        <v>319</v>
      </c>
      <c r="D12" s="246">
        <f>D7*(D8+D9+D10)+D11*1.15</f>
        <v>1247500</v>
      </c>
      <c r="E12" s="238" t="s">
        <v>290</v>
      </c>
      <c r="F12" s="238" t="s">
        <v>375</v>
      </c>
      <c r="G12" s="129"/>
      <c r="H12" s="224"/>
    </row>
    <row r="16" spans="2:60" x14ac:dyDescent="0.2">
      <c r="H16" s="225" t="s">
        <v>145</v>
      </c>
    </row>
    <row r="17" spans="4:8" ht="15" x14ac:dyDescent="0.2">
      <c r="D17" s="240"/>
      <c r="E17" s="240"/>
      <c r="F17" s="240"/>
      <c r="G17" s="224"/>
      <c r="H17" s="224"/>
    </row>
    <row r="18" spans="4:8" x14ac:dyDescent="0.2">
      <c r="G18" s="224"/>
    </row>
  </sheetData>
  <mergeCells count="3">
    <mergeCell ref="B1:F1"/>
    <mergeCell ref="B2:F2"/>
    <mergeCell ref="G1:J1"/>
  </mergeCells>
  <pageMargins left="0.7" right="0.7" top="0.75" bottom="0.75" header="0.3" footer="0.3"/>
  <pageSetup orientation="portrait" r:id="rId1"/>
  <ignoredErrors>
    <ignoredError sqref="I10:J1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riter_x0020_Name xmlns="77435b79-0e1b-410a-8b6e-b30c9f74a43b" xsi:nil="true"/>
    <Round xmlns="77435b79-0e1b-410a-8b6e-b30c9f74a43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A3BDFDF9321D4FA4F1C881C7E75E6F" ma:contentTypeVersion="8" ma:contentTypeDescription="Create a new document." ma:contentTypeScope="" ma:versionID="a76604fcf008b7a762187c5397d51c5a">
  <xsd:schema xmlns:xsd="http://www.w3.org/2001/XMLSchema" xmlns:xs="http://www.w3.org/2001/XMLSchema" xmlns:p="http://schemas.microsoft.com/office/2006/metadata/properties" xmlns:ns1="http://schemas.microsoft.com/sharepoint/v3" xmlns:ns2="77435b79-0e1b-410a-8b6e-b30c9f74a43b" targetNamespace="http://schemas.microsoft.com/office/2006/metadata/properties" ma:root="true" ma:fieldsID="ae7d43cfcb2939595e4691cba8b04dbc" ns1:_="" ns2:_="">
    <xsd:import namespace="http://schemas.microsoft.com/sharepoint/v3"/>
    <xsd:import namespace="77435b79-0e1b-410a-8b6e-b30c9f74a43b"/>
    <xsd:element name="properties">
      <xsd:complexType>
        <xsd:sequence>
          <xsd:element name="documentManagement">
            <xsd:complexType>
              <xsd:all>
                <xsd:element ref="ns1:PublishingExpirationDate" minOccurs="0"/>
                <xsd:element ref="ns1:PublishingStartDate" minOccurs="0"/>
                <xsd:element ref="ns2:Writer_x0020_Name" minOccurs="0"/>
                <xsd:element ref="ns2: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2" nillable="true" ma:displayName="Scheduling End Date" ma:description="Scheduling End Date is a site column created by the Publishing feature. It is used to specify the date and time on which this page will no longer appear to site visitors." ma:internalName="Scheduling_x0020_End_x0020_Date">
      <xsd:simpleType>
        <xsd:restriction base="dms:Unknown"/>
      </xsd:simpleType>
    </xsd:element>
    <xsd:element name="PublishingStartDate" ma:index="3" nillable="true" ma:displayName="Scheduling Start Date" ma:description="Scheduling Start Date is a site column created by the Publishing feature. It is used to specify the date and time on which this page will first appear to site visitors." ma:internalName="Scheduling_x0020_Start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435b79-0e1b-410a-8b6e-b30c9f74a43b" elementFormDefault="qualified">
    <xsd:import namespace="http://schemas.microsoft.com/office/2006/documentManagement/types"/>
    <xsd:import namespace="http://schemas.microsoft.com/office/infopath/2007/PartnerControls"/>
    <xsd:element name="Writer_x0020_Name" ma:index="4" nillable="true" ma:displayName="Writer Name" ma:internalName="Writer_x0020_Name">
      <xsd:simpleType>
        <xsd:restriction base="dms:Text">
          <xsd:maxLength value="255"/>
        </xsd:restriction>
      </xsd:simpleType>
    </xsd:element>
    <xsd:element name="Round" ma:index="5" nillable="true" ma:displayName="Round" ma:internalName="Rou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B8AEB7-DE20-46BE-B193-42818EF4A73F}">
  <ds:schemaRefs>
    <ds:schemaRef ds:uri="77435b79-0e1b-410a-8b6e-b30c9f74a43b"/>
    <ds:schemaRef ds:uri="http://schemas.microsoft.com/office/2006/documentManagement/types"/>
    <ds:schemaRef ds:uri="http://purl.org/dc/dcmitype/"/>
    <ds:schemaRef ds:uri="http://www.w3.org/XML/1998/namespace"/>
    <ds:schemaRef ds:uri="http://purl.org/dc/elements/1.1/"/>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B91401D-CA46-45B3-9B4D-B2619E5DE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435b79-0e1b-410a-8b6e-b30c9f74a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C51C92-77D8-4CE0-9755-F5C3F8C2C5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Introduction</vt:lpstr>
      <vt:lpstr>Summary</vt:lpstr>
      <vt:lpstr>Summary - Base Year Escaladed</vt:lpstr>
      <vt:lpstr>Muskrat Falls</vt:lpstr>
      <vt:lpstr>LTA</vt:lpstr>
      <vt:lpstr>LITL</vt:lpstr>
      <vt:lpstr>Corporate Support</vt:lpstr>
      <vt:lpstr>ECC</vt:lpstr>
      <vt:lpstr>SOBI</vt:lpstr>
      <vt:lpstr>Cost Curve</vt:lpstr>
      <vt:lpstr>'Corporate Support'!Print_Area</vt:lpstr>
      <vt:lpstr>ECC!Print_Area</vt:lpstr>
      <vt:lpstr>Introduction!Print_Area</vt:lpstr>
      <vt:lpstr>LITL!Print_Area</vt:lpstr>
      <vt:lpstr>LTA!Print_Area</vt:lpstr>
      <vt:lpstr>'Muskrat Falls'!Print_Area</vt:lpstr>
      <vt:lpstr>Summary!Print_Area</vt:lpstr>
      <vt:lpstr>'Summary - Base Year Escaladed'!Print_Area</vt:lpstr>
      <vt:lpstr>LITL!Print_Titles</vt:lpstr>
    </vt:vector>
  </TitlesOfParts>
  <Company>Newfoundland and Labrador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Newfoundland &amp; Labrador Hydro</dc:creator>
  <cp:lastModifiedBy>Barbara Thistle</cp:lastModifiedBy>
  <cp:lastPrinted>2012-07-23T19:10:58Z</cp:lastPrinted>
  <dcterms:created xsi:type="dcterms:W3CDTF">2007-11-26T17:23:28Z</dcterms:created>
  <dcterms:modified xsi:type="dcterms:W3CDTF">2019-06-28T13:01:50Z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0x010100D9A3BDFDF9321D4FA4F1C881C7E75E6F</vt:lpwstr>
  </property>
</Properties>
</file>